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收支明细" sheetId="1" r:id="rId1"/>
    <sheet name="求助者善款发放安排" sheetId="2" r:id="rId2"/>
    <sheet name="公帐收支明细" sheetId="3" r:id="rId3"/>
    <sheet name="理事会基金" sheetId="4" r:id="rId4"/>
    <sheet name="特困户" sheetId="5" r:id="rId5"/>
    <sheet name="排名" sheetId="6" r:id="rId6"/>
  </sheets>
  <calcPr calcId="144525"/>
</workbook>
</file>

<file path=xl/sharedStrings.xml><?xml version="1.0" encoding="utf-8"?>
<sst xmlns="http://schemas.openxmlformats.org/spreadsheetml/2006/main" count="1636" uniqueCount="718">
  <si>
    <t>2020年埔寨镇公益会捐款和拍卖及开支明细统计表</t>
  </si>
  <si>
    <t>以下姓名恕不作称呼</t>
  </si>
  <si>
    <r>
      <rPr>
        <b/>
        <i/>
        <sz val="16"/>
        <color rgb="FF000000"/>
        <rFont val="宋体"/>
        <charset val="134"/>
      </rPr>
      <t xml:space="preserve">   </t>
    </r>
    <r>
      <rPr>
        <b/>
        <i/>
        <sz val="16"/>
        <color rgb="FF000000"/>
        <rFont val="宋体"/>
        <charset val="134"/>
      </rPr>
      <t xml:space="preserve">     </t>
    </r>
    <r>
      <rPr>
        <b/>
        <i/>
        <sz val="16"/>
        <color rgb="FF000000"/>
        <rFont val="宋体"/>
        <charset val="134"/>
      </rPr>
      <t xml:space="preserve"> 开心公益，自愿量力！欢迎大家为家乡公益献爱心！</t>
    </r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</si>
  <si>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</si>
  <si>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</si>
  <si>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</si>
  <si>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</si>
  <si>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</si>
  <si>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</si>
  <si>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</si>
  <si>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</si>
  <si>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</si>
  <si>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结余</t>
  </si>
  <si>
    <t>承上年结余</t>
  </si>
  <si>
    <t>2020.01.02</t>
  </si>
  <si>
    <t>张建周</t>
  </si>
  <si>
    <t>集丰村</t>
  </si>
  <si>
    <t>现金</t>
  </si>
  <si>
    <t>张建武(荣誉会长)</t>
  </si>
  <si>
    <t>张胜昌</t>
  </si>
  <si>
    <t>谢晓东</t>
  </si>
  <si>
    <t>采芝村</t>
  </si>
  <si>
    <t>张文欣</t>
  </si>
  <si>
    <t>张会波</t>
  </si>
  <si>
    <t>田洋村</t>
  </si>
  <si>
    <t>张斌</t>
  </si>
  <si>
    <t>埔上江</t>
  </si>
  <si>
    <t>黄会良</t>
  </si>
  <si>
    <t>较塘下</t>
  </si>
  <si>
    <t>张顺康</t>
  </si>
  <si>
    <t>巨星村</t>
  </si>
  <si>
    <t>张小超(大声)</t>
  </si>
  <si>
    <t>2020.01.03</t>
  </si>
  <si>
    <t>邱海瑞</t>
  </si>
  <si>
    <t>塔下村</t>
  </si>
  <si>
    <t>张福亮</t>
  </si>
  <si>
    <t>张昌宝</t>
  </si>
  <si>
    <t>楼下</t>
  </si>
  <si>
    <t>邱春玲</t>
  </si>
  <si>
    <t>张爱欣</t>
  </si>
  <si>
    <t>中心村</t>
  </si>
  <si>
    <t>贵州习酒</t>
  </si>
  <si>
    <t>邱春玲拍得</t>
  </si>
  <si>
    <t>2020.01.05</t>
  </si>
  <si>
    <t>张锡财</t>
  </si>
  <si>
    <t>谢海峰</t>
  </si>
  <si>
    <t>横坑村</t>
  </si>
  <si>
    <t>张文海</t>
  </si>
  <si>
    <t>南门</t>
  </si>
  <si>
    <t>2020.01.06</t>
  </si>
  <si>
    <t>爱心人士(匿名)</t>
  </si>
  <si>
    <t>陈曦小朋友</t>
  </si>
  <si>
    <t>东光村</t>
  </si>
  <si>
    <t>陈晨小朋友</t>
  </si>
  <si>
    <t>2020.01.07</t>
  </si>
  <si>
    <t>张瑜春</t>
  </si>
  <si>
    <t>陈嘉琦</t>
  </si>
  <si>
    <t>张世光张惠玲伉俪</t>
  </si>
  <si>
    <t>埔北村</t>
  </si>
  <si>
    <t>张海帆</t>
  </si>
  <si>
    <t>海鸥村</t>
  </si>
  <si>
    <t>2020.01.08</t>
  </si>
  <si>
    <t>张伟强</t>
  </si>
  <si>
    <t>张小波</t>
  </si>
  <si>
    <t>张伟江</t>
  </si>
  <si>
    <t>张秋波</t>
  </si>
  <si>
    <t>张增才</t>
  </si>
  <si>
    <t>张建辉</t>
  </si>
  <si>
    <t>爱心人士(谢哥)</t>
  </si>
  <si>
    <t>茅园村</t>
  </si>
  <si>
    <t>张贵群</t>
  </si>
  <si>
    <t>阳光村</t>
  </si>
  <si>
    <t>张昌彪</t>
  </si>
  <si>
    <t>2020.01.09</t>
  </si>
  <si>
    <t>张志荣</t>
  </si>
  <si>
    <t>大塘村</t>
  </si>
  <si>
    <t>张团</t>
  </si>
  <si>
    <t>张秋光</t>
  </si>
  <si>
    <t>张职群</t>
  </si>
  <si>
    <t>树德堂</t>
  </si>
  <si>
    <t>郑微笑</t>
  </si>
  <si>
    <t>河秋江</t>
  </si>
  <si>
    <t>谢文海</t>
  </si>
  <si>
    <t>丘绍催</t>
  </si>
  <si>
    <t>谢建红</t>
  </si>
  <si>
    <t>张喜强</t>
  </si>
  <si>
    <t>静远园</t>
  </si>
  <si>
    <t>张辉生</t>
  </si>
  <si>
    <t>张小云</t>
  </si>
  <si>
    <t>谢让彬</t>
  </si>
  <si>
    <t>谢天一</t>
  </si>
  <si>
    <t>2020.01.10</t>
  </si>
  <si>
    <t>严坤(能营)</t>
  </si>
  <si>
    <t>红珠塘</t>
  </si>
  <si>
    <t>张美静</t>
  </si>
  <si>
    <t>张细梭</t>
  </si>
  <si>
    <t>五谷香白酒</t>
  </si>
  <si>
    <t>邱海瑞拍得</t>
  </si>
  <si>
    <t>张进贤</t>
  </si>
  <si>
    <t>红酒</t>
  </si>
  <si>
    <t>张建文拍得</t>
  </si>
  <si>
    <t>黄会森</t>
  </si>
  <si>
    <t>鹤坑村</t>
  </si>
  <si>
    <t>牛栏山白酒</t>
  </si>
  <si>
    <t>张议千拍得</t>
  </si>
  <si>
    <t>2020.01.11</t>
  </si>
  <si>
    <t>张俊兵</t>
  </si>
  <si>
    <t>楼下四房</t>
  </si>
  <si>
    <t>支出制作荣誉牌扁费用60*62=3720元</t>
  </si>
  <si>
    <t>2020.01.12</t>
  </si>
  <si>
    <t>支出制作一幅贴画(三角禾坪处)</t>
  </si>
  <si>
    <t>支出银行短信费</t>
  </si>
  <si>
    <t>张继超</t>
  </si>
  <si>
    <t>张仁习</t>
  </si>
  <si>
    <t>张美娜</t>
  </si>
  <si>
    <t>2020.01.13</t>
  </si>
  <si>
    <t>张细辉</t>
  </si>
  <si>
    <t>支出银行卡年费</t>
  </si>
  <si>
    <t>2020.01.15</t>
  </si>
  <si>
    <t>谢同辉</t>
  </si>
  <si>
    <t>宫下埔</t>
  </si>
  <si>
    <t>2020.01.17</t>
  </si>
  <si>
    <t>严丽锋</t>
  </si>
  <si>
    <t>张燕萍</t>
  </si>
  <si>
    <t>张飞艇</t>
  </si>
  <si>
    <t>爱心人士(张先生)</t>
  </si>
  <si>
    <t>严丽军</t>
  </si>
  <si>
    <t>张良鑫</t>
  </si>
  <si>
    <t>支出买利是封43包*2元=86元</t>
  </si>
  <si>
    <t>黄武华</t>
  </si>
  <si>
    <t>半东坑</t>
  </si>
  <si>
    <t>张位源</t>
  </si>
  <si>
    <t>茅台集团酱香酒5斤</t>
  </si>
  <si>
    <t>张一辉</t>
  </si>
  <si>
    <t>平远红岩寨禾米白酒</t>
  </si>
  <si>
    <t>张顺康拍得</t>
  </si>
  <si>
    <t>2020.01.19</t>
  </si>
  <si>
    <t>新辽子</t>
  </si>
  <si>
    <t>张名雄</t>
  </si>
  <si>
    <t>张敬丰小朋友</t>
  </si>
  <si>
    <t>张镓露小朋友</t>
  </si>
  <si>
    <t>张镇周</t>
  </si>
  <si>
    <t>新楼下</t>
  </si>
  <si>
    <t>张会君</t>
  </si>
  <si>
    <t>半岭村</t>
  </si>
  <si>
    <t>2020.01.20</t>
  </si>
  <si>
    <t>张志办</t>
  </si>
  <si>
    <t>张裕超</t>
  </si>
  <si>
    <t>支出年终慰问活动贫固户红包213*200=42600元,百岁寿星红包10*1000=10000元,敬老院红包6*1000=6000元</t>
  </si>
  <si>
    <t>百岁寿星牛奶10*62=620元,敬老院牛奶6*62=372元,贫固户油米213份*112=23856</t>
  </si>
  <si>
    <t>特困户发放慰问金一共11户,一次发放半年,每户1000元,合计:11000元.</t>
  </si>
  <si>
    <t>张俊林</t>
  </si>
  <si>
    <t>车场下</t>
  </si>
  <si>
    <t>张俊文</t>
  </si>
  <si>
    <t>张锦有</t>
  </si>
  <si>
    <t>黄红</t>
  </si>
  <si>
    <t>张牡芬</t>
  </si>
  <si>
    <t>2020.01.21</t>
  </si>
  <si>
    <t>曾会珍</t>
  </si>
  <si>
    <t>2020.01.23</t>
  </si>
  <si>
    <t>2020.01.24</t>
  </si>
  <si>
    <t>张仲文</t>
  </si>
  <si>
    <t>2020.01.27</t>
  </si>
  <si>
    <t>张自远</t>
  </si>
  <si>
    <t>2020.01.31</t>
  </si>
  <si>
    <t>吴书瑶小朋友</t>
  </si>
  <si>
    <t>吴骥韬小朋友</t>
  </si>
  <si>
    <t>2020.02.12</t>
  </si>
  <si>
    <t>2020.02.14</t>
  </si>
  <si>
    <t>支出帮扶中心村张永生困难家庭</t>
  </si>
  <si>
    <t>2020.02.16</t>
  </si>
  <si>
    <t>支出购买一次性口罩2200*4.6元＝10120</t>
  </si>
  <si>
    <t>2020.02.17</t>
  </si>
  <si>
    <t>捐赠口罩1100只价值5000元（包邮）送各管区</t>
  </si>
  <si>
    <t>2020.02.20</t>
  </si>
  <si>
    <t>支出慰问我镇出入检查口宵夜：汤粉15份*15元*4夜＝900元；桶面4件*40元＝160元；合计1060元</t>
  </si>
  <si>
    <t>2020.02.26</t>
  </si>
  <si>
    <t>捐手套300只（送镇政府）</t>
  </si>
  <si>
    <t>2020.02.28</t>
  </si>
  <si>
    <t>吕建君拍得</t>
  </si>
  <si>
    <t>2020.03.06</t>
  </si>
  <si>
    <t>谢海和</t>
  </si>
  <si>
    <t>金樽ＸＯ白兰地</t>
  </si>
  <si>
    <t>兄弟连拍得</t>
  </si>
  <si>
    <t>徐奕建</t>
  </si>
  <si>
    <t>免洗抗菌凝露</t>
  </si>
  <si>
    <t>2020.03.12</t>
  </si>
  <si>
    <t>谢利民</t>
  </si>
  <si>
    <t>仓下村</t>
  </si>
  <si>
    <t>2020.03.13</t>
  </si>
  <si>
    <t>林泽杰</t>
  </si>
  <si>
    <t>一次性口罩100只A</t>
  </si>
  <si>
    <t>谢博福拍得</t>
  </si>
  <si>
    <t>一次性口罩100只B</t>
  </si>
  <si>
    <t>谢让彬拍得</t>
  </si>
  <si>
    <t>一次性口罩100只C</t>
  </si>
  <si>
    <t>一次性口罩100只D</t>
  </si>
  <si>
    <t>张志平拍得</t>
  </si>
  <si>
    <t>一次性口罩100只E</t>
  </si>
  <si>
    <t>一次性口罩100只F</t>
  </si>
  <si>
    <t>2020.03.20</t>
  </si>
  <si>
    <t>张舜强</t>
  </si>
  <si>
    <t>普洱茶</t>
  </si>
  <si>
    <t>张自春</t>
  </si>
  <si>
    <t>三七粉</t>
  </si>
  <si>
    <t>玉娟拍得</t>
  </si>
  <si>
    <t>山参</t>
  </si>
  <si>
    <t>2020.03.27</t>
  </si>
  <si>
    <t>严丽锋拍得</t>
  </si>
  <si>
    <t>张乾和拍得</t>
  </si>
  <si>
    <t>2020.04.03</t>
  </si>
  <si>
    <t>香烟</t>
  </si>
  <si>
    <t>张喜拍得</t>
  </si>
  <si>
    <t>2020.04.09</t>
  </si>
  <si>
    <t>慰问援鄂英雄张美琴现金6800元，鲜花100元，做横幅50元，现金牌10元，红包100元</t>
  </si>
  <si>
    <t>2020.04.10</t>
  </si>
  <si>
    <t>黄鹤楼香烟</t>
  </si>
  <si>
    <t>黑枸杞</t>
  </si>
  <si>
    <t>西洋参</t>
  </si>
  <si>
    <t>张仲文拍得</t>
  </si>
  <si>
    <t>2020.04.11</t>
  </si>
  <si>
    <t>张细录</t>
  </si>
  <si>
    <t>红星村</t>
  </si>
  <si>
    <t>2020.04.12</t>
  </si>
  <si>
    <t>2020.04.17</t>
  </si>
  <si>
    <t>张仁浪</t>
  </si>
  <si>
    <t>紫檀手串</t>
  </si>
  <si>
    <t>吕春林拍得</t>
  </si>
  <si>
    <t>2020.04.24</t>
  </si>
  <si>
    <t>梅花图</t>
  </si>
  <si>
    <t>林泽杰拍得</t>
  </si>
  <si>
    <t>2020.05.01</t>
  </si>
  <si>
    <t>吕绍雄</t>
  </si>
  <si>
    <t>湖仔村</t>
  </si>
  <si>
    <t>泸州御酒</t>
  </si>
  <si>
    <t>葡萄酒</t>
  </si>
  <si>
    <t>2020.05.08</t>
  </si>
  <si>
    <t>徐德超</t>
  </si>
  <si>
    <t>《福》字</t>
  </si>
  <si>
    <t>2020.05.12</t>
  </si>
  <si>
    <t>2020.05.15</t>
  </si>
  <si>
    <t>谢志古拍得</t>
  </si>
  <si>
    <t>天麻</t>
  </si>
  <si>
    <t>张双海拍得</t>
  </si>
  <si>
    <t>贡菊</t>
  </si>
  <si>
    <t>2020.05.22</t>
  </si>
  <si>
    <t>谢志古</t>
  </si>
  <si>
    <t>潮汕蜂蜜草粿</t>
  </si>
  <si>
    <t>郑晓云拍得</t>
  </si>
  <si>
    <t>2020.05.29</t>
  </si>
  <si>
    <t>四宝粉</t>
  </si>
  <si>
    <t>张运华拍得</t>
  </si>
  <si>
    <t>2020.06.05</t>
  </si>
  <si>
    <t>万事如意白酒</t>
  </si>
  <si>
    <t>张锦炎拍得</t>
  </si>
  <si>
    <t>支出帮扶巨星村张晓乐困难家庭</t>
  </si>
  <si>
    <t>2020.06.12</t>
  </si>
  <si>
    <t>四川郎酒</t>
  </si>
  <si>
    <t>匿名拍得</t>
  </si>
  <si>
    <t>2020.06.19</t>
  </si>
  <si>
    <t xml:space="preserve">  紫砂壶</t>
  </si>
  <si>
    <t xml:space="preserve">  张仲文拍得</t>
  </si>
  <si>
    <t xml:space="preserve">  老战士白酒</t>
  </si>
  <si>
    <t xml:space="preserve">  张建辉拍得</t>
  </si>
  <si>
    <t xml:space="preserve">  红茶</t>
  </si>
  <si>
    <t xml:space="preserve">  张细标拍得</t>
  </si>
  <si>
    <t>2020.06.26</t>
  </si>
  <si>
    <t xml:space="preserve">  灵芝酒</t>
  </si>
  <si>
    <t xml:space="preserve">  张建文拍得</t>
  </si>
  <si>
    <t>2020.07.03</t>
  </si>
  <si>
    <t>张仁钢</t>
  </si>
  <si>
    <t xml:space="preserve">  砗磲木纹手串</t>
  </si>
  <si>
    <t xml:space="preserve">  林泽杰拍得</t>
  </si>
  <si>
    <t>张远良</t>
  </si>
  <si>
    <t xml:space="preserve">  红酒</t>
  </si>
  <si>
    <t xml:space="preserve">  张牡芬拍得</t>
  </si>
  <si>
    <t>2020.07.07</t>
  </si>
  <si>
    <t>支出帮扶采芝黄兰珍困难家庭</t>
  </si>
  <si>
    <t>2020.07.10</t>
  </si>
  <si>
    <t xml:space="preserve">  砗磲金丝手串</t>
  </si>
  <si>
    <t xml:space="preserve">  黄会森拍得</t>
  </si>
  <si>
    <t>谢洪鑫</t>
  </si>
  <si>
    <t xml:space="preserve">  旅泰华侨</t>
  </si>
  <si>
    <t xml:space="preserve">  泰拳牌青草药膏</t>
  </si>
  <si>
    <t xml:space="preserve">  张锡林拍得</t>
  </si>
  <si>
    <t>2020.07.12</t>
  </si>
  <si>
    <t>2020.07.17</t>
  </si>
  <si>
    <t>张细标拍得</t>
  </si>
  <si>
    <t>2020.07.24</t>
  </si>
  <si>
    <t xml:space="preserve">  玛瑙手串</t>
  </si>
  <si>
    <t xml:space="preserve">  黄鹤楼奇景爆珠香烟</t>
  </si>
  <si>
    <t>张良鑫拍得</t>
  </si>
  <si>
    <t>2020.07.31</t>
  </si>
  <si>
    <t xml:space="preserve">  大洋野生绿茶</t>
  </si>
  <si>
    <t>张胜昌拍得</t>
  </si>
  <si>
    <t xml:space="preserve">  天子牌香烟</t>
  </si>
  <si>
    <t>2020.08.07</t>
  </si>
  <si>
    <t>吴生</t>
  </si>
  <si>
    <t>冠华纸业</t>
  </si>
  <si>
    <t xml:space="preserve">  原木抽纸100包</t>
  </si>
  <si>
    <t>2020.08.08</t>
  </si>
  <si>
    <t>特困户发放慰问金一共9户,一次发放半年,每户1000元,合计:9000元.</t>
  </si>
  <si>
    <t>2020.08.12</t>
  </si>
  <si>
    <t>2020.08.14</t>
  </si>
  <si>
    <t>新鲜松茸</t>
  </si>
  <si>
    <t>2020.08.21</t>
  </si>
  <si>
    <t>张舒畅拍得</t>
  </si>
  <si>
    <t xml:space="preserve">  新鲜人参</t>
  </si>
  <si>
    <t>张远辉拍得</t>
  </si>
  <si>
    <t>严辉炎拍得</t>
  </si>
  <si>
    <t>2020.08.28</t>
  </si>
  <si>
    <t>6提卷纸</t>
  </si>
  <si>
    <t>张万顺拍得</t>
  </si>
  <si>
    <t>2020.08.30</t>
  </si>
  <si>
    <t>支出帮扶中心村张自墩困难家庭</t>
  </si>
  <si>
    <t>2020.09.04</t>
  </si>
  <si>
    <t>大罗振兴蜂场</t>
  </si>
  <si>
    <t>百花蜜蜂蜜</t>
  </si>
  <si>
    <t xml:space="preserve">  砗磲手串（2串）</t>
  </si>
  <si>
    <t>2020.09.11</t>
  </si>
  <si>
    <t>燕窝月饼</t>
  </si>
  <si>
    <t>2020.09.12</t>
  </si>
  <si>
    <t>2020.09.18</t>
  </si>
  <si>
    <t>黄惠钦</t>
  </si>
  <si>
    <t>糯米酒</t>
  </si>
  <si>
    <t>张远良拍得</t>
  </si>
  <si>
    <t>青钱柳茶</t>
  </si>
  <si>
    <t>张志荣拍得</t>
  </si>
  <si>
    <t>2020.09.25</t>
  </si>
  <si>
    <t>张一辉拍得</t>
  </si>
  <si>
    <t>黄耀彬拍得</t>
  </si>
  <si>
    <t>2020.10.01</t>
  </si>
  <si>
    <t>支出中秋慰问敬老院老人，买柚110元，牛奶567元，一共677元</t>
  </si>
  <si>
    <t>2020.10.02</t>
  </si>
  <si>
    <t>2020.10.09</t>
  </si>
  <si>
    <t>大红袍（茶）</t>
  </si>
  <si>
    <t>张清宝拍得</t>
  </si>
  <si>
    <t>张先勇拍得</t>
  </si>
  <si>
    <t>2020.10.12</t>
  </si>
  <si>
    <t>2020.10.15</t>
  </si>
  <si>
    <t>帮扶红珠塘严时宁困难家庭（第1/20期）</t>
  </si>
  <si>
    <r>
      <rPr>
        <sz val="12"/>
        <rFont val="宋体"/>
        <charset val="134"/>
      </rPr>
      <t>2020.10.16</t>
    </r>
  </si>
  <si>
    <t>《禅茶一味》字画</t>
  </si>
  <si>
    <t>张飞艇拍得</t>
  </si>
  <si>
    <t>2020.10.23</t>
  </si>
  <si>
    <t>《见贤思齐》字画</t>
  </si>
  <si>
    <t>张爱欣拍得</t>
  </si>
  <si>
    <t>海之蓝白酒</t>
  </si>
  <si>
    <t>2020.11.06</t>
  </si>
  <si>
    <t>张世光</t>
  </si>
  <si>
    <t>向阳村</t>
  </si>
  <si>
    <t>《知足常乐》字画</t>
  </si>
  <si>
    <t>张昌许拍得</t>
  </si>
  <si>
    <t>2020.11.12</t>
  </si>
  <si>
    <t>2020.11.13</t>
  </si>
  <si>
    <t>《崇德向善》字画</t>
  </si>
  <si>
    <t>金标红酒2瓶</t>
  </si>
  <si>
    <t>2020.11.20</t>
  </si>
  <si>
    <t>2020.11.27</t>
  </si>
  <si>
    <t>赣南脐橙</t>
  </si>
  <si>
    <t>谢百福拍得</t>
  </si>
  <si>
    <t>张自远拍得</t>
  </si>
  <si>
    <t>2020.12.04</t>
  </si>
  <si>
    <t>张书珍拍得</t>
  </si>
  <si>
    <t>2020.12.11</t>
  </si>
  <si>
    <t>严永华拍得</t>
  </si>
  <si>
    <t>2020.12.12</t>
  </si>
  <si>
    <t>2020.12.18</t>
  </si>
  <si>
    <t>充电宝暖手宝二合一</t>
  </si>
  <si>
    <t>张会波拍得</t>
  </si>
  <si>
    <t>丘春湘拍得</t>
  </si>
  <si>
    <t>2020.12.25</t>
  </si>
  <si>
    <t>玉溪香烟</t>
  </si>
  <si>
    <t>张潘滕</t>
  </si>
  <si>
    <t>远二村</t>
  </si>
  <si>
    <t>10元×20只纪念币</t>
  </si>
  <si>
    <t>张锡林拍得</t>
  </si>
  <si>
    <r>
      <rPr>
        <sz val="12"/>
        <rFont val="宋体"/>
        <charset val="134"/>
      </rPr>
      <t>2020.12.2</t>
    </r>
    <r>
      <rPr>
        <sz val="12"/>
        <rFont val="宋体"/>
        <charset val="134"/>
      </rPr>
      <t>9</t>
    </r>
  </si>
  <si>
    <r>
      <rPr>
        <b/>
        <sz val="12"/>
        <rFont val="宋体"/>
        <charset val="134"/>
      </rPr>
      <t>帮扶红珠塘严时宁困难家庭（第2、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/20期）</t>
    </r>
  </si>
  <si>
    <t>本年度利息收入：</t>
  </si>
  <si>
    <t>本年度累计：</t>
  </si>
  <si>
    <t>总计：</t>
  </si>
  <si>
    <t>公益会基金结余（含利息）：</t>
  </si>
  <si>
    <t>保管一位求助者的救助款：</t>
  </si>
  <si>
    <t>理事会基金：</t>
  </si>
  <si>
    <t>公益会基金+理事会基金+保管一位求助者的救助款（合计）：</t>
  </si>
  <si>
    <r>
      <rPr>
        <b/>
        <sz val="18"/>
        <rFont val="宋体"/>
        <charset val="134"/>
      </rPr>
      <t>更新到2020年12月</t>
    </r>
    <r>
      <rPr>
        <b/>
        <sz val="18"/>
        <rFont val="宋体"/>
        <charset val="134"/>
      </rPr>
      <t>31日止</t>
    </r>
  </si>
  <si>
    <t>财务陈育南保管存款：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</si>
  <si>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</si>
  <si>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</si>
  <si>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</si>
  <si>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</si>
  <si>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</si>
  <si>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</si>
  <si>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 xml:space="preserve">        利  息  收  入</t>
  </si>
  <si>
    <t>说明：所有收益将纳入公益会基金。</t>
  </si>
  <si>
    <t>活期利息收入</t>
  </si>
  <si>
    <t>2019.03.21</t>
  </si>
  <si>
    <t>财务帐户</t>
  </si>
  <si>
    <t>第一季度利息收入</t>
  </si>
  <si>
    <t>定期利息收入</t>
  </si>
  <si>
    <t>2020.06.04</t>
  </si>
  <si>
    <t>公帐（丰顺工行）</t>
  </si>
  <si>
    <t>2019.06.21</t>
  </si>
  <si>
    <t>第二季度利息收入</t>
  </si>
  <si>
    <t>2019.09.21</t>
  </si>
  <si>
    <t>第三季度利息收入</t>
  </si>
  <si>
    <t>2019.12.21</t>
  </si>
  <si>
    <t>第四季度利息收入</t>
  </si>
  <si>
    <t>活期利息合计：</t>
  </si>
  <si>
    <t>定期利息合计：</t>
  </si>
  <si>
    <t>活 期 定 期 互 转</t>
  </si>
  <si>
    <t>活期定期互转</t>
  </si>
  <si>
    <t>2017.06.12</t>
  </si>
  <si>
    <t>活期转定期</t>
  </si>
  <si>
    <t>年利率1.75%</t>
  </si>
  <si>
    <t>2018.06.12</t>
  </si>
  <si>
    <t>自动转存</t>
  </si>
  <si>
    <t>2018.06.04</t>
  </si>
  <si>
    <t>年利率1.95%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</si>
  <si>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019.06.04</t>
    </r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</si>
  <si>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019.06.12</t>
    </r>
  </si>
  <si>
    <t>至2019.06.12日止，定期合计（包含利息在内）：</t>
  </si>
  <si>
    <t>至2020.06.12日止，定期合计（包含利息在内）：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</si>
  <si>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</si>
  <si>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</si>
  <si>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</si>
  <si>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</si>
  <si>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</si>
  <si>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</si>
  <si>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</si>
  <si>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</si>
  <si>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</si>
  <si>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</si>
  <si>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</si>
  <si>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</si>
  <si>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</si>
  <si>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</si>
  <si>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</si>
  <si>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</si>
  <si>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</si>
  <si>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</si>
  <si>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</si>
  <si>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</si>
  <si>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</si>
  <si>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</si>
  <si>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</si>
  <si>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</si>
  <si>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</si>
  <si>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</si>
  <si>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2019.02.03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</si>
  <si>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</si>
  <si>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</si>
  <si>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</si>
  <si>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</si>
  <si>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</si>
  <si>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红珠塘严时宁</t>
  </si>
  <si>
    <t>接下来每月发放1000元</t>
  </si>
  <si>
    <t>红珠塘严时宁善款发放安排</t>
  </si>
  <si>
    <t>红珠塘严细辉（沈幼米）善款发放安排</t>
  </si>
  <si>
    <t>发放日期</t>
  </si>
  <si>
    <r>
      <rPr>
        <b/>
        <sz val="12"/>
        <rFont val="宋体"/>
        <charset val="134"/>
      </rPr>
      <t>一共20000</t>
    </r>
    <r>
      <rPr>
        <b/>
        <sz val="12"/>
        <rFont val="宋体"/>
        <charset val="134"/>
      </rPr>
      <t>元</t>
    </r>
  </si>
  <si>
    <t>当月结存</t>
  </si>
  <si>
    <t xml:space="preserve">第1期 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</si>
  <si>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</si>
  <si>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第2期</t>
  </si>
  <si>
    <t>2020.11.15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</si>
  <si>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</si>
  <si>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第3期</t>
  </si>
  <si>
    <t>2020.12.15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</si>
  <si>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</si>
  <si>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</si>
  <si>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第4期</t>
  </si>
  <si>
    <t>2021.01.15</t>
  </si>
  <si>
    <t>申请发放</t>
  </si>
  <si>
    <t>2018.05.29</t>
  </si>
  <si>
    <t>第5期</t>
  </si>
  <si>
    <t>2021.02.15</t>
  </si>
  <si>
    <t>2018.09.03</t>
  </si>
  <si>
    <t>第6期</t>
  </si>
  <si>
    <t>2021.03.15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</si>
  <si>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</si>
  <si>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第7期</t>
  </si>
  <si>
    <t>2021.04.15</t>
  </si>
  <si>
    <t>2019.05.19</t>
  </si>
  <si>
    <t>第8期</t>
  </si>
  <si>
    <t>2021.05.15</t>
  </si>
  <si>
    <t>第9期</t>
  </si>
  <si>
    <t>2021.06.15</t>
  </si>
  <si>
    <t>第10期</t>
  </si>
  <si>
    <t>2021.07.15</t>
  </si>
  <si>
    <t>第11期</t>
  </si>
  <si>
    <t>2021.08.15</t>
  </si>
  <si>
    <t>第12期</t>
  </si>
  <si>
    <t>2021.09.15</t>
  </si>
  <si>
    <t>第13期</t>
  </si>
  <si>
    <t>2021.10.15</t>
  </si>
  <si>
    <t>第14期</t>
  </si>
  <si>
    <t>2021.11.15</t>
  </si>
  <si>
    <t>第15期</t>
  </si>
  <si>
    <t>2021.12.15</t>
  </si>
  <si>
    <t>第16期</t>
  </si>
  <si>
    <t>2022.01.15</t>
  </si>
  <si>
    <t>第17期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</si>
  <si>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022.02.15</t>
    </r>
  </si>
  <si>
    <t>第18期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</si>
  <si>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022.03.15</t>
    </r>
  </si>
  <si>
    <t>第19期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</si>
  <si>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022.04.15</t>
    </r>
  </si>
  <si>
    <t>第20期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</si>
  <si>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022.05.15</t>
    </r>
  </si>
  <si>
    <t>至2022.05.15日发放完</t>
  </si>
  <si>
    <t>2017—2018年埔寨镇公益会丰顺工行（公帐）收支明细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</si>
  <si>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</si>
  <si>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</si>
  <si>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</si>
  <si>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</si>
  <si>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</si>
  <si>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</si>
  <si>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</si>
  <si>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</si>
  <si>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</si>
  <si>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</si>
  <si>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</si>
  <si>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</si>
  <si>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</si>
  <si>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</si>
  <si>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</si>
  <si>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</si>
  <si>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</si>
  <si>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</si>
  <si>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</si>
  <si>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</si>
  <si>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</si>
  <si>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</si>
  <si>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</si>
  <si>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</si>
  <si>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</si>
  <si>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</si>
  <si>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</si>
  <si>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</si>
  <si>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</si>
  <si>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2018.08.01</t>
  </si>
  <si>
    <t>镇政府捐款</t>
  </si>
  <si>
    <t>2018.09.21</t>
  </si>
  <si>
    <t>2018.12.21</t>
  </si>
  <si>
    <t>2019.01.28</t>
  </si>
  <si>
    <t>民政局捐款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</si>
  <si>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</si>
  <si>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2019.06.28</t>
  </si>
  <si>
    <t>U盾年费支出</t>
  </si>
  <si>
    <t>埔寨镇公益会(理事会基金）收支明细</t>
  </si>
  <si>
    <t xml:space="preserve">   收费标准：理事会成员每人100元（接近用完再筹）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</si>
  <si>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</si>
  <si>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</si>
  <si>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</si>
  <si>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</si>
  <si>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</si>
  <si>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</si>
  <si>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</si>
  <si>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2016.11.28</t>
  </si>
  <si>
    <t>张建武</t>
  </si>
  <si>
    <t>2017.02.24</t>
  </si>
  <si>
    <t>对深水张双方求助，到梅县黄塘落实情况交通费</t>
  </si>
  <si>
    <t>2018.02.09</t>
  </si>
  <si>
    <t>严利锋的外婆“仙逝”礼金和花圈</t>
  </si>
  <si>
    <t>严利锋</t>
  </si>
  <si>
    <t>谢百福</t>
  </si>
  <si>
    <t>2018.03.11</t>
  </si>
  <si>
    <t>严瑞民的奶奶“仙逝”礼金和花圈</t>
  </si>
  <si>
    <t>严瑞民</t>
  </si>
  <si>
    <t>陈育南</t>
  </si>
  <si>
    <t>谢小军的父亲“仙逝”礼金和花圈</t>
  </si>
  <si>
    <t>谢小军</t>
  </si>
  <si>
    <t>2018.04.10</t>
  </si>
  <si>
    <t>对枧桥村谢和春求助，到梅县黄塘落实情况交通费</t>
  </si>
  <si>
    <t>2018.04.11</t>
  </si>
  <si>
    <t>郑微笑的奶奶“仙逝”礼金和花圈</t>
  </si>
  <si>
    <t>张业丰</t>
  </si>
  <si>
    <t>2018.08.18</t>
  </si>
  <si>
    <t>张世光的父亲“仙逝”礼金和花圈</t>
  </si>
  <si>
    <t>2018.10.28</t>
  </si>
  <si>
    <t>谢利帮“稻田町料理学院”开业贺花篮2个</t>
  </si>
  <si>
    <t>谢利帮</t>
  </si>
  <si>
    <t>2019.04.11</t>
  </si>
  <si>
    <t>张许民的父亲“仙逝”礼金和花圈</t>
  </si>
  <si>
    <t>张许民</t>
  </si>
  <si>
    <t>2019.05.04</t>
  </si>
  <si>
    <t>张斌的父亲“仙逝”礼金和花圈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</si>
  <si>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</si>
  <si>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</si>
  <si>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t>张召辉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</si>
  <si>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</si>
  <si>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</si>
  <si>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t>张职仲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</si>
  <si>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</si>
  <si>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</si>
  <si>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t>张锦雄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</si>
  <si>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020.01.13</t>
    </r>
  </si>
  <si>
    <t>谢天一外母“仙逝”礼金和花圈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</si>
  <si>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020.04.04</t>
    </r>
  </si>
  <si>
    <t>谢利帮的父亲“仙逝”礼金和花圈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</si>
  <si>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020.04.26</t>
    </r>
  </si>
  <si>
    <t>黄红的奶奶“仙逝”礼金和花圈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</si>
  <si>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020.11.25</t>
    </r>
  </si>
  <si>
    <t>黄会森的父亲“仙逝”礼金和花圈</t>
  </si>
  <si>
    <t>张永君</t>
  </si>
  <si>
    <t>黄  红</t>
  </si>
  <si>
    <t>张昌旦</t>
  </si>
  <si>
    <t>张德宁</t>
  </si>
  <si>
    <t>张  斌</t>
  </si>
  <si>
    <t>张小辉</t>
  </si>
  <si>
    <t>2016.11.29</t>
  </si>
  <si>
    <t>张惠玲</t>
  </si>
  <si>
    <t>2017.02.27</t>
  </si>
  <si>
    <t>2017.02.28</t>
  </si>
  <si>
    <t>2018.02.13</t>
  </si>
  <si>
    <t>新办公室购买设备剩余7084元</t>
  </si>
  <si>
    <t>收入总计：</t>
  </si>
  <si>
    <t>（详见本表格右边）支出总计：</t>
  </si>
  <si>
    <t>理事会基金结余：</t>
  </si>
  <si>
    <t>以上如有遗漏或错误请联系我  手机/微信：17507536218</t>
  </si>
  <si>
    <t>2021年特困户慰问金发放登记</t>
  </si>
  <si>
    <t>身份证号码</t>
  </si>
  <si>
    <t>联系电话</t>
  </si>
  <si>
    <t>审核通过</t>
  </si>
  <si>
    <t>2021年上半年</t>
  </si>
  <si>
    <r>
      <rPr>
        <b/>
        <sz val="14"/>
        <color rgb="FFFF0000"/>
        <rFont val="宋体"/>
        <charset val="134"/>
      </rPr>
      <t>2021</t>
    </r>
    <r>
      <rPr>
        <b/>
        <sz val="14"/>
        <color rgb="FFFF0000"/>
        <rFont val="宋体"/>
        <charset val="134"/>
      </rPr>
      <t>年下半年</t>
    </r>
  </si>
  <si>
    <t>本人或亲属</t>
  </si>
  <si>
    <t>发放金额</t>
  </si>
  <si>
    <t>采芝</t>
  </si>
  <si>
    <t>谢和平</t>
  </si>
  <si>
    <t>441423194202013019</t>
  </si>
  <si>
    <t>2019.03.28</t>
  </si>
  <si>
    <t>谢元享</t>
  </si>
  <si>
    <t>441423193909133052</t>
  </si>
  <si>
    <t>2019.03.30</t>
  </si>
  <si>
    <t>埔北</t>
  </si>
  <si>
    <t>张勃绪.远二</t>
  </si>
  <si>
    <t>11412319480804301X</t>
  </si>
  <si>
    <t>2019.08.15</t>
  </si>
  <si>
    <t>半岭</t>
  </si>
  <si>
    <t>张划发.上寨</t>
  </si>
  <si>
    <t>441423193505206411</t>
  </si>
  <si>
    <t>2019.07.12</t>
  </si>
  <si>
    <t>张义新.寨肚</t>
  </si>
  <si>
    <t>441423195501026412</t>
  </si>
  <si>
    <t>埔南</t>
  </si>
  <si>
    <t>张自味.中心</t>
  </si>
  <si>
    <t>441423195508186058</t>
  </si>
  <si>
    <t>2019.08.10</t>
  </si>
  <si>
    <t>学枫</t>
  </si>
  <si>
    <t>黄和磅.枫下</t>
  </si>
  <si>
    <t>44142319500203301X</t>
  </si>
  <si>
    <t>2019.07.14</t>
  </si>
  <si>
    <t>万安</t>
  </si>
  <si>
    <t>严礼等.油草洋</t>
  </si>
  <si>
    <t>441423194902043016</t>
  </si>
  <si>
    <t>2019.07.15</t>
  </si>
  <si>
    <t>合计金额</t>
  </si>
  <si>
    <t>2020年特困户慰问金发放登记</t>
  </si>
  <si>
    <t>2020年上半年</t>
  </si>
  <si>
    <r>
      <rPr>
        <b/>
        <sz val="14"/>
        <color rgb="FFFF0000"/>
        <rFont val="宋体"/>
        <charset val="134"/>
      </rPr>
      <t>2020</t>
    </r>
    <r>
      <rPr>
        <b/>
        <sz val="14"/>
        <color rgb="FFFF0000"/>
        <rFont val="宋体"/>
        <charset val="134"/>
      </rPr>
      <t>年下半年</t>
    </r>
  </si>
  <si>
    <t>2020.08.09</t>
  </si>
  <si>
    <t>张爱勤.埔尾下</t>
  </si>
  <si>
    <t>441423196708043038</t>
  </si>
  <si>
    <t>2019.04.19</t>
  </si>
  <si>
    <t>2020.04.25</t>
  </si>
  <si>
    <t>已仙逝</t>
  </si>
  <si>
    <t>张存时.埔东</t>
  </si>
  <si>
    <t>441423194311143015</t>
  </si>
  <si>
    <t>2020.08.26仙逝</t>
  </si>
  <si>
    <t>张红发.集丰</t>
  </si>
  <si>
    <t>441423194001043035</t>
  </si>
  <si>
    <t>2020.04.14</t>
  </si>
  <si>
    <t>2020埔寨镇公益会捐款捐物和参与拍卖排名</t>
  </si>
  <si>
    <t>排名</t>
  </si>
  <si>
    <t>捐款</t>
  </si>
  <si>
    <t>捐物</t>
  </si>
  <si>
    <t>参与拍卖</t>
  </si>
  <si>
    <t>合计</t>
  </si>
  <si>
    <t>张建文</t>
  </si>
  <si>
    <t>吕建君</t>
  </si>
  <si>
    <r>
      <rPr>
        <sz val="12"/>
        <rFont val="宋体"/>
        <charset val="134"/>
      </rPr>
      <t>张小超(大声</t>
    </r>
    <r>
      <rPr>
        <sz val="12"/>
        <rFont val="宋体"/>
        <charset val="134"/>
      </rPr>
      <t>)</t>
    </r>
  </si>
  <si>
    <r>
      <rPr>
        <sz val="12"/>
        <rFont val="宋体"/>
        <charset val="134"/>
      </rPr>
      <t>爱心人士(张先生</t>
    </r>
    <r>
      <rPr>
        <sz val="12"/>
        <rFont val="宋体"/>
        <charset val="134"/>
      </rPr>
      <t>)</t>
    </r>
  </si>
  <si>
    <t>兄弟连</t>
  </si>
  <si>
    <t>张志平</t>
  </si>
  <si>
    <t>张议千</t>
  </si>
  <si>
    <t>严辉炎</t>
  </si>
  <si>
    <t>张远辉</t>
  </si>
  <si>
    <r>
      <rPr>
        <sz val="12"/>
        <rFont val="宋体"/>
        <charset val="134"/>
      </rPr>
      <t>爱心人士(匿名</t>
    </r>
    <r>
      <rPr>
        <sz val="12"/>
        <rFont val="宋体"/>
        <charset val="134"/>
      </rPr>
      <t>)</t>
    </r>
  </si>
  <si>
    <t>张锦炎</t>
  </si>
  <si>
    <t>张万顺</t>
  </si>
  <si>
    <t>张锡林</t>
  </si>
  <si>
    <t>匿名</t>
  </si>
  <si>
    <t>谢博福</t>
  </si>
  <si>
    <t>张双海</t>
  </si>
  <si>
    <t>张细标</t>
  </si>
  <si>
    <t>吕春林</t>
  </si>
  <si>
    <t>张书珍</t>
  </si>
  <si>
    <t>张运华</t>
  </si>
  <si>
    <t>郑晓云</t>
  </si>
  <si>
    <t>张舒畅</t>
  </si>
  <si>
    <r>
      <rPr>
        <sz val="12"/>
        <rFont val="宋体"/>
        <charset val="134"/>
      </rPr>
      <t>严坤(能营</t>
    </r>
    <r>
      <rPr>
        <sz val="12"/>
        <rFont val="宋体"/>
        <charset val="134"/>
      </rPr>
      <t>)</t>
    </r>
  </si>
  <si>
    <t>张乾和</t>
  </si>
  <si>
    <t>严永华</t>
  </si>
  <si>
    <t>张昌许</t>
  </si>
  <si>
    <t>玉娟</t>
  </si>
  <si>
    <t>丘春湘</t>
  </si>
  <si>
    <t>张先勇</t>
  </si>
  <si>
    <t>黄耀彬</t>
  </si>
  <si>
    <t>张喜</t>
  </si>
  <si>
    <t>张清宝</t>
  </si>
  <si>
    <t>捐款合计</t>
  </si>
  <si>
    <t>捐物合计</t>
  </si>
  <si>
    <t>参与拍卖合计</t>
  </si>
  <si>
    <t>捐款和拍卖合计</t>
  </si>
  <si>
    <t>以上如有遗漏，请联系我：微信：17507536218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</si>
</sst>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68">
    <font>
      <sz val="11"/>
      <name val="宋体"/>
      <charset val="134"/>
    </font>
    <font>
      <b/>
      <sz val="2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sz val="26"/>
      <color rgb="FFFF0000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2"/>
      <color indexed="10"/>
      <name val="宋体"/>
      <charset val="134"/>
    </font>
    <font>
      <b/>
      <i/>
      <sz val="16"/>
      <color rgb="FF000000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4"/>
      <color rgb="FF0000FF"/>
      <name val="宋体"/>
      <charset val="134"/>
    </font>
    <font>
      <b/>
      <sz val="12"/>
      <color rgb="FF0000FF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2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50" fillId="0" borderId="0" applyFont="0" applyFill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4" fillId="24" borderId="92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38" borderId="94" applyNumberFormat="0" applyFon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91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1" fillId="37" borderId="93" applyNumberFormat="0" applyAlignment="0" applyProtection="0">
      <alignment vertical="center"/>
    </xf>
    <xf numFmtId="0" fontId="62" fillId="37" borderId="92" applyNumberFormat="0" applyAlignment="0" applyProtection="0">
      <alignment vertical="center"/>
    </xf>
    <xf numFmtId="0" fontId="66" fillId="43" borderId="96" applyNumberFormat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7" fillId="0" borderId="97" applyNumberFormat="0" applyFill="0" applyAlignment="0" applyProtection="0">
      <alignment vertical="center"/>
    </xf>
    <xf numFmtId="0" fontId="64" fillId="0" borderId="95" applyNumberFormat="0" applyFill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3" fillId="0" borderId="0">
      <protection locked="0"/>
    </xf>
    <xf numFmtId="0" fontId="7" fillId="0" borderId="0">
      <protection locked="0"/>
    </xf>
  </cellStyleXfs>
  <cellXfs count="6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6" fontId="0" fillId="2" borderId="1" xfId="0" applyNumberFormat="1" applyFill="1" applyBorder="1">
      <alignment vertical="center"/>
    </xf>
    <xf numFmtId="0" fontId="3" fillId="0" borderId="1" xfId="50" applyFont="1" applyBorder="1" applyAlignment="1" applyProtection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0" xfId="0" applyNumberForma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0" fontId="3" fillId="2" borderId="1" xfId="50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176" fontId="11" fillId="4" borderId="20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176" fontId="11" fillId="4" borderId="25" xfId="0" applyNumberFormat="1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76" fontId="11" fillId="4" borderId="30" xfId="0" applyNumberFormat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176" fontId="11" fillId="4" borderId="3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176" fontId="11" fillId="4" borderId="39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1" fillId="4" borderId="40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6" fontId="11" fillId="4" borderId="44" xfId="0" applyNumberFormat="1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176" fontId="11" fillId="4" borderId="46" xfId="0" applyNumberFormat="1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48" xfId="0" applyNumberFormat="1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176" fontId="11" fillId="5" borderId="48" xfId="0" applyNumberFormat="1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176" fontId="11" fillId="5" borderId="32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76" fontId="13" fillId="5" borderId="32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6" fontId="15" fillId="0" borderId="51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76" fontId="16" fillId="4" borderId="20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176" fontId="16" fillId="4" borderId="25" xfId="0" applyNumberFormat="1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176" fontId="16" fillId="4" borderId="30" xfId="0" applyNumberFormat="1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176" fontId="16" fillId="4" borderId="32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76" fontId="16" fillId="4" borderId="48" xfId="0" applyNumberFormat="1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176" fontId="16" fillId="4" borderId="39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176" fontId="16" fillId="4" borderId="53" xfId="0" applyNumberFormat="1" applyFont="1" applyFill="1" applyBorder="1" applyAlignment="1">
      <alignment horizontal="center" vertical="center"/>
    </xf>
    <xf numFmtId="49" fontId="16" fillId="0" borderId="41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176" fontId="16" fillId="4" borderId="44" xfId="0" applyNumberFormat="1" applyFont="1" applyFill="1" applyBorder="1" applyAlignment="1">
      <alignment horizontal="center" vertical="center"/>
    </xf>
    <xf numFmtId="176" fontId="16" fillId="4" borderId="40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76" fontId="16" fillId="4" borderId="46" xfId="0" applyNumberFormat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176" fontId="16" fillId="5" borderId="48" xfId="0" applyNumberFormat="1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176" fontId="16" fillId="5" borderId="39" xfId="0" applyNumberFormat="1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176" fontId="16" fillId="5" borderId="32" xfId="0" applyNumberFormat="1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17" fillId="0" borderId="51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0" fontId="14" fillId="0" borderId="0" xfId="0" applyFont="1" applyBorder="1" applyAlignment="1">
      <alignment vertical="center"/>
    </xf>
    <xf numFmtId="176" fontId="9" fillId="3" borderId="33" xfId="0" applyNumberFormat="1" applyFont="1" applyFill="1" applyBorder="1" applyAlignment="1">
      <alignment horizontal="center" vertical="center"/>
    </xf>
    <xf numFmtId="176" fontId="11" fillId="4" borderId="54" xfId="0" applyNumberFormat="1" applyFont="1" applyFill="1" applyBorder="1" applyAlignment="1">
      <alignment horizontal="center" vertical="center"/>
    </xf>
    <xf numFmtId="176" fontId="13" fillId="4" borderId="32" xfId="0" applyNumberFormat="1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176" fontId="9" fillId="3" borderId="20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76" fontId="16" fillId="4" borderId="57" xfId="0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76" fontId="10" fillId="4" borderId="32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>
      <alignment vertical="center"/>
    </xf>
    <xf numFmtId="0" fontId="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9" fillId="0" borderId="35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0" fillId="6" borderId="26" xfId="49" applyFont="1" applyFill="1" applyBorder="1" applyAlignment="1" applyProtection="1">
      <alignment horizontal="center" vertical="center"/>
    </xf>
    <xf numFmtId="49" fontId="20" fillId="6" borderId="1" xfId="49" applyNumberFormat="1" applyFont="1" applyFill="1" applyBorder="1" applyAlignment="1" applyProtection="1">
      <alignment horizontal="center" vertical="center"/>
    </xf>
    <xf numFmtId="0" fontId="20" fillId="6" borderId="1" xfId="49" applyFont="1" applyFill="1" applyBorder="1" applyAlignment="1" applyProtection="1">
      <alignment horizontal="center" vertical="center"/>
    </xf>
    <xf numFmtId="176" fontId="20" fillId="6" borderId="48" xfId="49" applyNumberFormat="1" applyFont="1" applyFill="1" applyBorder="1" applyAlignment="1" applyProtection="1">
      <alignment horizontal="center" vertical="center"/>
    </xf>
    <xf numFmtId="0" fontId="20" fillId="6" borderId="26" xfId="49" applyNumberFormat="1" applyFont="1" applyFill="1" applyBorder="1" applyAlignment="1" applyProtection="1">
      <alignment horizontal="center" vertical="center"/>
    </xf>
    <xf numFmtId="49" fontId="20" fillId="3" borderId="1" xfId="49" applyNumberFormat="1" applyFont="1" applyFill="1" applyBorder="1" applyAlignment="1" applyProtection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3" fillId="7" borderId="48" xfId="0" applyNumberFormat="1" applyFont="1" applyFill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176" fontId="13" fillId="0" borderId="1" xfId="0" applyNumberFormat="1" applyFont="1" applyBorder="1">
      <alignment vertical="center"/>
    </xf>
    <xf numFmtId="0" fontId="3" fillId="7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>
      <alignment vertical="center"/>
    </xf>
    <xf numFmtId="0" fontId="13" fillId="0" borderId="1" xfId="0" applyFont="1" applyBorder="1">
      <alignment vertical="center"/>
    </xf>
    <xf numFmtId="176" fontId="13" fillId="0" borderId="4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7" borderId="26" xfId="49" applyNumberFormat="1" applyFont="1" applyFill="1" applyBorder="1" applyAlignment="1" applyProtection="1">
      <alignment horizontal="center" vertical="center"/>
    </xf>
    <xf numFmtId="49" fontId="20" fillId="7" borderId="1" xfId="49" applyNumberFormat="1" applyFont="1" applyFill="1" applyBorder="1" applyAlignment="1" applyProtection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0" fontId="13" fillId="7" borderId="26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176" fontId="2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6" fontId="13" fillId="7" borderId="1" xfId="0" applyNumberFormat="1" applyFont="1" applyFill="1" applyBorder="1">
      <alignment vertical="center"/>
    </xf>
    <xf numFmtId="0" fontId="13" fillId="8" borderId="26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right" vertical="center"/>
    </xf>
    <xf numFmtId="176" fontId="15" fillId="8" borderId="48" xfId="0" applyNumberFormat="1" applyFont="1" applyFill="1" applyBorder="1" applyAlignment="1">
      <alignment horizontal="center" vertical="center"/>
    </xf>
    <xf numFmtId="0" fontId="13" fillId="8" borderId="26" xfId="0" applyNumberFormat="1" applyFont="1" applyFill="1" applyBorder="1" applyAlignment="1">
      <alignment horizontal="center" vertical="center"/>
    </xf>
    <xf numFmtId="0" fontId="13" fillId="8" borderId="1" xfId="0" applyFont="1" applyFill="1" applyBorder="1">
      <alignment vertical="center"/>
    </xf>
    <xf numFmtId="176" fontId="13" fillId="8" borderId="1" xfId="0" applyNumberFormat="1" applyFont="1" applyFill="1" applyBorder="1">
      <alignment vertical="center"/>
    </xf>
    <xf numFmtId="0" fontId="20" fillId="8" borderId="25" xfId="0" applyFont="1" applyFill="1" applyBorder="1" applyAlignment="1">
      <alignment horizontal="right" vertical="center"/>
    </xf>
    <xf numFmtId="0" fontId="20" fillId="8" borderId="62" xfId="0" applyFont="1" applyFill="1" applyBorder="1" applyAlignment="1">
      <alignment horizontal="right" vertical="center"/>
    </xf>
    <xf numFmtId="176" fontId="15" fillId="8" borderId="1" xfId="0" applyNumberFormat="1" applyFont="1" applyFill="1" applyBorder="1">
      <alignment vertical="center"/>
    </xf>
    <xf numFmtId="0" fontId="23" fillId="9" borderId="63" xfId="0" applyFont="1" applyFill="1" applyBorder="1" applyAlignment="1">
      <alignment horizontal="right" vertical="center" wrapText="1"/>
    </xf>
    <xf numFmtId="0" fontId="23" fillId="9" borderId="42" xfId="0" applyFont="1" applyFill="1" applyBorder="1" applyAlignment="1">
      <alignment horizontal="right" vertical="center" wrapText="1"/>
    </xf>
    <xf numFmtId="0" fontId="23" fillId="9" borderId="64" xfId="0" applyFont="1" applyFill="1" applyBorder="1" applyAlignment="1">
      <alignment horizontal="right" vertical="center" wrapText="1"/>
    </xf>
    <xf numFmtId="176" fontId="24" fillId="9" borderId="39" xfId="0" applyNumberFormat="1" applyFont="1" applyFill="1" applyBorder="1" applyAlignment="1">
      <alignment horizontal="center" vertical="center"/>
    </xf>
    <xf numFmtId="0" fontId="7" fillId="9" borderId="38" xfId="0" applyNumberFormat="1" applyFont="1" applyFill="1" applyBorder="1" applyAlignment="1">
      <alignment horizontal="center" vertical="center"/>
    </xf>
    <xf numFmtId="0" fontId="7" fillId="9" borderId="43" xfId="0" applyNumberFormat="1" applyFont="1" applyFill="1" applyBorder="1" applyAlignment="1">
      <alignment horizontal="center" vertical="center"/>
    </xf>
    <xf numFmtId="0" fontId="7" fillId="9" borderId="43" xfId="0" applyFont="1" applyFill="1" applyBorder="1">
      <alignment vertical="center"/>
    </xf>
    <xf numFmtId="176" fontId="7" fillId="9" borderId="43" xfId="0" applyNumberFormat="1" applyFont="1" applyFill="1" applyBorder="1">
      <alignment vertical="center"/>
    </xf>
    <xf numFmtId="0" fontId="20" fillId="3" borderId="48" xfId="49" applyFont="1" applyFill="1" applyBorder="1" applyAlignment="1" applyProtection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20" fillId="7" borderId="48" xfId="49" applyFont="1" applyFill="1" applyBorder="1" applyAlignment="1" applyProtection="1">
      <alignment horizontal="center" vertical="center"/>
    </xf>
    <xf numFmtId="0" fontId="22" fillId="7" borderId="48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3" fillId="8" borderId="48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1" fillId="3" borderId="17" xfId="50" applyFont="1" applyFill="1" applyBorder="1" applyAlignment="1" applyProtection="1">
      <alignment horizontal="center" vertical="center"/>
    </xf>
    <xf numFmtId="0" fontId="21" fillId="3" borderId="18" xfId="50" applyFont="1" applyFill="1" applyBorder="1" applyAlignment="1" applyProtection="1">
      <alignment horizontal="center" vertical="center"/>
    </xf>
    <xf numFmtId="0" fontId="21" fillId="3" borderId="18" xfId="50" applyFont="1" applyFill="1" applyBorder="1" applyAlignment="1" applyProtection="1">
      <alignment horizontal="center" vertical="center" wrapText="1"/>
    </xf>
    <xf numFmtId="0" fontId="21" fillId="3" borderId="65" xfId="50" applyFont="1" applyFill="1" applyBorder="1" applyAlignment="1" applyProtection="1">
      <alignment horizontal="center" vertical="center" wrapText="1"/>
    </xf>
    <xf numFmtId="0" fontId="21" fillId="3" borderId="32" xfId="5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3" fillId="7" borderId="62" xfId="50" applyFont="1" applyFill="1" applyBorder="1" applyAlignment="1" applyProtection="1">
      <alignment horizontal="center" vertical="center"/>
    </xf>
    <xf numFmtId="0" fontId="3" fillId="7" borderId="1" xfId="50" applyFont="1" applyFill="1" applyBorder="1" applyAlignment="1" applyProtection="1">
      <alignment horizontal="center" vertical="center" wrapText="1"/>
    </xf>
    <xf numFmtId="176" fontId="3" fillId="7" borderId="1" xfId="50" applyNumberFormat="1" applyFont="1" applyFill="1" applyBorder="1" applyAlignment="1" applyProtection="1">
      <alignment horizontal="center" vertical="center" wrapText="1"/>
    </xf>
    <xf numFmtId="176" fontId="3" fillId="7" borderId="48" xfId="50" applyNumberFormat="1" applyFont="1" applyFill="1" applyBorder="1" applyAlignment="1" applyProtection="1">
      <alignment horizontal="center" vertical="center" wrapText="1"/>
    </xf>
    <xf numFmtId="0" fontId="3" fillId="7" borderId="25" xfId="50" applyFont="1" applyFill="1" applyBorder="1" applyAlignment="1" applyProtection="1">
      <alignment horizontal="center" vertical="center" wrapText="1"/>
    </xf>
    <xf numFmtId="0" fontId="3" fillId="7" borderId="41" xfId="50" applyFont="1" applyFill="1" applyBorder="1" applyAlignment="1" applyProtection="1">
      <alignment horizontal="center" vertical="center"/>
    </xf>
    <xf numFmtId="176" fontId="7" fillId="7" borderId="1" xfId="0" applyNumberFormat="1" applyFont="1" applyFill="1" applyBorder="1">
      <alignment vertical="center"/>
    </xf>
    <xf numFmtId="0" fontId="7" fillId="0" borderId="62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>
      <alignment vertical="center"/>
    </xf>
    <xf numFmtId="0" fontId="26" fillId="0" borderId="3" xfId="50" applyFont="1" applyBorder="1" applyAlignment="1" applyProtection="1">
      <alignment horizontal="center" vertical="center"/>
    </xf>
    <xf numFmtId="0" fontId="8" fillId="0" borderId="5" xfId="50" applyFont="1" applyBorder="1" applyAlignment="1" applyProtection="1">
      <alignment horizontal="center" vertical="center"/>
    </xf>
    <xf numFmtId="0" fontId="8" fillId="0" borderId="66" xfId="50" applyFont="1" applyBorder="1" applyAlignment="1" applyProtection="1">
      <alignment horizontal="center" vertical="center"/>
    </xf>
    <xf numFmtId="0" fontId="8" fillId="0" borderId="0" xfId="50" applyFont="1" applyBorder="1" applyAlignment="1" applyProtection="1">
      <alignment horizontal="center" vertical="center"/>
    </xf>
    <xf numFmtId="0" fontId="27" fillId="0" borderId="0" xfId="50" applyFont="1" applyBorder="1" applyAlignment="1" applyProtection="1">
      <alignment horizontal="center" vertical="center"/>
    </xf>
    <xf numFmtId="0" fontId="21" fillId="0" borderId="0" xfId="50" applyFont="1" applyBorder="1" applyAlignment="1" applyProtection="1">
      <alignment vertical="center"/>
    </xf>
    <xf numFmtId="49" fontId="28" fillId="0" borderId="0" xfId="50" applyNumberFormat="1" applyFont="1" applyBorder="1" applyAlignment="1" applyProtection="1">
      <alignment horizontal="center" vertical="center"/>
    </xf>
    <xf numFmtId="0" fontId="7" fillId="0" borderId="0" xfId="50" applyBorder="1" applyAlignment="1" applyProtection="1">
      <alignment horizontal="center" vertical="center"/>
    </xf>
    <xf numFmtId="0" fontId="29" fillId="10" borderId="16" xfId="50" applyFont="1" applyFill="1" applyBorder="1" applyAlignment="1" applyProtection="1">
      <alignment horizontal="center" vertical="center"/>
    </xf>
    <xf numFmtId="49" fontId="21" fillId="10" borderId="18" xfId="50" applyNumberFormat="1" applyFont="1" applyFill="1" applyBorder="1" applyAlignment="1" applyProtection="1">
      <alignment horizontal="center" vertical="center"/>
    </xf>
    <xf numFmtId="0" fontId="21" fillId="10" borderId="18" xfId="50" applyFont="1" applyFill="1" applyBorder="1" applyAlignment="1" applyProtection="1">
      <alignment horizontal="center" vertical="center"/>
    </xf>
    <xf numFmtId="0" fontId="21" fillId="10" borderId="18" xfId="50" applyFont="1" applyFill="1" applyBorder="1" applyAlignment="1" applyProtection="1">
      <alignment horizontal="center" vertical="center" wrapText="1"/>
    </xf>
    <xf numFmtId="0" fontId="21" fillId="10" borderId="40" xfId="50" applyFont="1" applyFill="1" applyBorder="1" applyAlignment="1" applyProtection="1">
      <alignment horizontal="center" vertical="center"/>
    </xf>
    <xf numFmtId="0" fontId="7" fillId="0" borderId="26" xfId="50" applyBorder="1" applyAlignment="1" applyProtection="1">
      <alignment horizontal="center" vertical="center"/>
    </xf>
    <xf numFmtId="49" fontId="4" fillId="0" borderId="1" xfId="50" applyNumberFormat="1" applyFont="1" applyBorder="1" applyAlignment="1" applyProtection="1">
      <alignment horizontal="center" vertical="center"/>
    </xf>
    <xf numFmtId="176" fontId="4" fillId="0" borderId="1" xfId="50" applyNumberFormat="1" applyFont="1" applyBorder="1" applyAlignment="1" applyProtection="1">
      <alignment horizontal="center" vertical="center"/>
    </xf>
    <xf numFmtId="0" fontId="4" fillId="0" borderId="25" xfId="50" applyFont="1" applyBorder="1" applyAlignment="1" applyProtection="1">
      <alignment horizontal="center" vertical="center"/>
    </xf>
    <xf numFmtId="0" fontId="4" fillId="0" borderId="1" xfId="50" applyFont="1" applyBorder="1" applyAlignment="1" applyProtection="1">
      <alignment horizontal="left" vertical="center"/>
    </xf>
    <xf numFmtId="49" fontId="3" fillId="7" borderId="1" xfId="50" applyNumberFormat="1" applyFont="1" applyFill="1" applyBorder="1" applyAlignment="1" applyProtection="1">
      <alignment horizontal="center" vertical="center" wrapText="1"/>
    </xf>
    <xf numFmtId="176" fontId="7" fillId="0" borderId="1" xfId="50" applyNumberFormat="1" applyFont="1" applyBorder="1" applyAlignment="1" applyProtection="1">
      <alignment horizontal="center" vertical="center"/>
    </xf>
    <xf numFmtId="176" fontId="7" fillId="0" borderId="1" xfId="50" applyNumberFormat="1" applyFont="1" applyBorder="1" applyAlignment="1" applyProtection="1">
      <alignment horizontal="left" vertical="center"/>
    </xf>
    <xf numFmtId="0" fontId="7" fillId="0" borderId="25" xfId="50" applyFont="1" applyBorder="1" applyAlignment="1" applyProtection="1">
      <alignment horizontal="center" vertical="center"/>
    </xf>
    <xf numFmtId="49" fontId="3" fillId="7" borderId="25" xfId="50" applyNumberFormat="1" applyFont="1" applyFill="1" applyBorder="1" applyAlignment="1" applyProtection="1">
      <alignment horizontal="left" vertical="center" wrapText="1"/>
    </xf>
    <xf numFmtId="0" fontId="7" fillId="0" borderId="1" xfId="50" applyFont="1" applyBorder="1" applyAlignment="1" applyProtection="1">
      <alignment horizontal="center" vertical="center"/>
    </xf>
    <xf numFmtId="0" fontId="7" fillId="0" borderId="1" xfId="50" applyFont="1" applyBorder="1" applyAlignment="1" applyProtection="1">
      <alignment horizontal="left" vertical="center"/>
    </xf>
    <xf numFmtId="176" fontId="7" fillId="0" borderId="1" xfId="50" applyNumberFormat="1" applyFont="1" applyBorder="1" applyAlignment="1" applyProtection="1">
      <alignment vertical="center"/>
    </xf>
    <xf numFmtId="0" fontId="7" fillId="0" borderId="25" xfId="50" applyFont="1" applyBorder="1" applyAlignment="1" applyProtection="1">
      <alignment horizontal="left" vertical="center"/>
    </xf>
    <xf numFmtId="0" fontId="7" fillId="0" borderId="38" xfId="50" applyBorder="1" applyAlignment="1" applyProtection="1">
      <alignment horizontal="center" vertical="center"/>
    </xf>
    <xf numFmtId="0" fontId="7" fillId="0" borderId="43" xfId="50" applyFont="1" applyBorder="1" applyAlignment="1" applyProtection="1">
      <alignment horizontal="center" vertical="center"/>
    </xf>
    <xf numFmtId="176" fontId="7" fillId="0" borderId="43" xfId="50" applyNumberFormat="1" applyFont="1" applyBorder="1" applyAlignment="1" applyProtection="1">
      <alignment vertical="center"/>
    </xf>
    <xf numFmtId="176" fontId="7" fillId="0" borderId="43" xfId="50" applyNumberFormat="1" applyFont="1" applyBorder="1" applyAlignment="1" applyProtection="1">
      <alignment horizontal="center" vertical="center"/>
    </xf>
    <xf numFmtId="0" fontId="7" fillId="0" borderId="44" xfId="50" applyFont="1" applyBorder="1" applyAlignment="1" applyProtection="1">
      <alignment horizontal="left" vertical="center"/>
    </xf>
    <xf numFmtId="0" fontId="7" fillId="0" borderId="0" xfId="50" applyFont="1" applyBorder="1" applyAlignment="1" applyProtection="1">
      <alignment horizontal="center" vertical="center"/>
    </xf>
    <xf numFmtId="176" fontId="7" fillId="0" borderId="0" xfId="50" applyNumberFormat="1" applyFont="1" applyBorder="1" applyAlignment="1" applyProtection="1">
      <alignment vertical="center"/>
    </xf>
    <xf numFmtId="176" fontId="7" fillId="0" borderId="0" xfId="50" applyNumberFormat="1" applyFont="1" applyBorder="1" applyAlignment="1" applyProtection="1">
      <alignment horizontal="center" vertical="center"/>
    </xf>
    <xf numFmtId="0" fontId="7" fillId="0" borderId="0" xfId="50" applyFont="1" applyBorder="1" applyAlignment="1" applyProtection="1">
      <alignment horizontal="left" vertical="center"/>
    </xf>
    <xf numFmtId="0" fontId="10" fillId="0" borderId="0" xfId="50" applyFont="1" applyBorder="1" applyAlignment="1" applyProtection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49" fontId="30" fillId="11" borderId="18" xfId="0" applyNumberFormat="1" applyFont="1" applyFill="1" applyBorder="1" applyAlignment="1">
      <alignment horizontal="center" vertical="center"/>
    </xf>
    <xf numFmtId="0" fontId="30" fillId="11" borderId="18" xfId="0" applyFont="1" applyFill="1" applyBorder="1" applyAlignment="1">
      <alignment horizontal="center" vertical="center"/>
    </xf>
    <xf numFmtId="0" fontId="30" fillId="11" borderId="32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176" fontId="10" fillId="11" borderId="18" xfId="0" applyNumberFormat="1" applyFont="1" applyFill="1" applyBorder="1" applyAlignment="1">
      <alignment horizontal="center" vertical="center"/>
    </xf>
    <xf numFmtId="0" fontId="10" fillId="11" borderId="18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176" fontId="7" fillId="2" borderId="1" xfId="50" applyNumberFormat="1" applyFont="1" applyFill="1" applyBorder="1" applyAlignment="1" applyProtection="1">
      <alignment horizontal="left" vertical="center"/>
    </xf>
    <xf numFmtId="176" fontId="7" fillId="0" borderId="48" xfId="50" applyNumberFormat="1" applyFont="1" applyBorder="1" applyAlignment="1" applyProtection="1">
      <alignment horizontal="left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9" fillId="0" borderId="41" xfId="0" applyNumberFormat="1" applyFont="1" applyFill="1" applyBorder="1" applyAlignment="1">
      <alignment horizontal="center" vertical="center"/>
    </xf>
    <xf numFmtId="49" fontId="29" fillId="0" borderId="62" xfId="0" applyNumberFormat="1" applyFont="1" applyFill="1" applyBorder="1" applyAlignment="1">
      <alignment horizontal="center" vertical="center"/>
    </xf>
    <xf numFmtId="0" fontId="7" fillId="0" borderId="62" xfId="50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64" xfId="50" applyFont="1" applyBorder="1" applyAlignment="1" applyProtection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7" fillId="0" borderId="7" xfId="50" applyFont="1" applyBorder="1" applyAlignment="1" applyProtection="1">
      <alignment horizontal="center" vertical="center"/>
    </xf>
    <xf numFmtId="0" fontId="7" fillId="0" borderId="0" xfId="50" applyAlignment="1" applyProtection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7" fillId="0" borderId="28" xfId="50" applyFont="1" applyBorder="1" applyAlignment="1" applyProtection="1">
      <alignment horizontal="center" vertical="center"/>
    </xf>
    <xf numFmtId="176" fontId="31" fillId="0" borderId="9" xfId="50" applyNumberFormat="1" applyFont="1" applyBorder="1" applyAlignment="1" applyProtection="1">
      <alignment horizontal="center" vertical="center"/>
    </xf>
    <xf numFmtId="176" fontId="31" fillId="0" borderId="7" xfId="50" applyNumberFormat="1" applyFont="1" applyBorder="1" applyAlignment="1" applyProtection="1">
      <alignment horizontal="center" vertical="center"/>
    </xf>
    <xf numFmtId="176" fontId="31" fillId="0" borderId="8" xfId="5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0" fillId="0" borderId="0" xfId="0" applyBorder="1">
      <alignment vertical="center"/>
    </xf>
    <xf numFmtId="0" fontId="32" fillId="0" borderId="0" xfId="0" applyFont="1" applyBorder="1" applyAlignment="1">
      <alignment horizontal="center" vertical="center"/>
    </xf>
    <xf numFmtId="176" fontId="32" fillId="0" borderId="0" xfId="0" applyNumberFormat="1" applyFont="1" applyBorder="1" applyAlignment="1">
      <alignment horizontal="center" vertical="center"/>
    </xf>
    <xf numFmtId="0" fontId="7" fillId="10" borderId="32" xfId="0" applyFont="1" applyFill="1" applyBorder="1">
      <alignment vertical="center"/>
    </xf>
    <xf numFmtId="0" fontId="9" fillId="0" borderId="48" xfId="0" applyFont="1" applyBorder="1" applyAlignment="1">
      <alignment horizontal="center" vertical="center"/>
    </xf>
    <xf numFmtId="49" fontId="3" fillId="7" borderId="41" xfId="50" applyNumberFormat="1" applyFont="1" applyFill="1" applyBorder="1" applyAlignment="1" applyProtection="1">
      <alignment horizontal="left" vertical="center" wrapText="1"/>
    </xf>
    <xf numFmtId="49" fontId="3" fillId="7" borderId="62" xfId="50" applyNumberFormat="1" applyFont="1" applyFill="1" applyBorder="1" applyAlignment="1" applyProtection="1">
      <alignment horizontal="left" vertical="center" wrapText="1"/>
    </xf>
    <xf numFmtId="0" fontId="7" fillId="0" borderId="41" xfId="50" applyFont="1" applyBorder="1" applyAlignment="1" applyProtection="1">
      <alignment horizontal="left" vertical="center"/>
    </xf>
    <xf numFmtId="0" fontId="7" fillId="0" borderId="42" xfId="50" applyFont="1" applyBorder="1" applyAlignment="1" applyProtection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11" borderId="32" xfId="0" applyNumberFormat="1" applyFont="1" applyFill="1" applyBorder="1" applyAlignment="1">
      <alignment horizontal="center" vertical="center"/>
    </xf>
    <xf numFmtId="176" fontId="4" fillId="0" borderId="48" xfId="0" applyNumberFormat="1" applyFont="1" applyFill="1" applyBorder="1" applyAlignment="1">
      <alignment horizontal="center" vertical="center"/>
    </xf>
    <xf numFmtId="0" fontId="7" fillId="0" borderId="8" xfId="50" applyFont="1" applyBorder="1" applyAlignment="1" applyProtection="1">
      <alignment horizontal="center" vertical="center"/>
    </xf>
    <xf numFmtId="0" fontId="7" fillId="0" borderId="0" xfId="50" applyAlignment="1" applyProtection="1">
      <alignment vertical="center"/>
    </xf>
    <xf numFmtId="0" fontId="3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8" fillId="2" borderId="3" xfId="50" applyFont="1" applyFill="1" applyBorder="1" applyAlignment="1" applyProtection="1">
      <alignment vertical="center"/>
    </xf>
    <xf numFmtId="0" fontId="35" fillId="0" borderId="5" xfId="50" applyFont="1" applyBorder="1" applyAlignment="1" applyProtection="1">
      <alignment horizontal="center" vertical="center"/>
    </xf>
    <xf numFmtId="0" fontId="8" fillId="2" borderId="66" xfId="50" applyFont="1" applyFill="1" applyBorder="1" applyAlignment="1" applyProtection="1">
      <alignment vertical="center"/>
    </xf>
    <xf numFmtId="0" fontId="35" fillId="0" borderId="0" xfId="50" applyFont="1" applyBorder="1" applyAlignment="1" applyProtection="1">
      <alignment horizontal="center" vertical="center"/>
    </xf>
    <xf numFmtId="0" fontId="27" fillId="2" borderId="66" xfId="50" applyFont="1" applyFill="1" applyBorder="1" applyAlignment="1" applyProtection="1">
      <alignment horizontal="right" vertical="center"/>
    </xf>
    <xf numFmtId="0" fontId="16" fillId="2" borderId="66" xfId="50" applyFont="1" applyFill="1" applyBorder="1" applyAlignment="1" applyProtection="1">
      <alignment horizontal="center" vertical="center"/>
    </xf>
    <xf numFmtId="0" fontId="24" fillId="0" borderId="0" xfId="50" applyFont="1" applyBorder="1" applyAlignment="1" applyProtection="1">
      <alignment horizontal="left" vertical="center"/>
    </xf>
    <xf numFmtId="0" fontId="36" fillId="0" borderId="35" xfId="50" applyFont="1" applyBorder="1" applyAlignment="1" applyProtection="1">
      <alignment horizontal="left" vertical="center"/>
    </xf>
    <xf numFmtId="0" fontId="21" fillId="2" borderId="16" xfId="50" applyFont="1" applyFill="1" applyBorder="1" applyAlignment="1" applyProtection="1">
      <alignment horizontal="center" vertical="center"/>
    </xf>
    <xf numFmtId="49" fontId="21" fillId="3" borderId="18" xfId="49" applyNumberFormat="1" applyFont="1" applyFill="1" applyBorder="1" applyAlignment="1" applyProtection="1">
      <alignment horizontal="center" vertical="center"/>
    </xf>
    <xf numFmtId="176" fontId="21" fillId="3" borderId="18" xfId="50" applyNumberFormat="1" applyFont="1" applyFill="1" applyBorder="1" applyAlignment="1" applyProtection="1">
      <alignment horizontal="center" vertical="center"/>
    </xf>
    <xf numFmtId="0" fontId="21" fillId="2" borderId="22" xfId="50" applyFont="1" applyFill="1" applyBorder="1" applyAlignment="1" applyProtection="1">
      <alignment horizontal="center" vertical="center"/>
    </xf>
    <xf numFmtId="0" fontId="9" fillId="2" borderId="25" xfId="50" applyFont="1" applyFill="1" applyBorder="1" applyAlignment="1" applyProtection="1">
      <alignment horizontal="center" vertical="center"/>
    </xf>
    <xf numFmtId="0" fontId="9" fillId="2" borderId="41" xfId="50" applyFont="1" applyFill="1" applyBorder="1" applyAlignment="1" applyProtection="1">
      <alignment horizontal="center" vertical="center"/>
    </xf>
    <xf numFmtId="0" fontId="9" fillId="2" borderId="62" xfId="50" applyFont="1" applyFill="1" applyBorder="1" applyAlignment="1" applyProtection="1">
      <alignment horizontal="center" vertical="center"/>
    </xf>
    <xf numFmtId="0" fontId="21" fillId="2" borderId="52" xfId="50" applyFont="1" applyFill="1" applyBorder="1" applyAlignment="1" applyProtection="1">
      <alignment horizontal="center" vertical="center"/>
    </xf>
    <xf numFmtId="176" fontId="21" fillId="2" borderId="52" xfId="50" applyNumberFormat="1" applyFont="1" applyFill="1" applyBorder="1" applyAlignment="1" applyProtection="1">
      <alignment horizontal="center" vertical="center"/>
    </xf>
    <xf numFmtId="0" fontId="13" fillId="2" borderId="26" xfId="50" applyFont="1" applyFill="1" applyBorder="1" applyAlignment="1" applyProtection="1">
      <alignment horizontal="center" vertical="center"/>
    </xf>
    <xf numFmtId="0" fontId="30" fillId="0" borderId="1" xfId="50" applyFont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/>
    </xf>
    <xf numFmtId="176" fontId="3" fillId="0" borderId="1" xfId="50" applyNumberFormat="1" applyFont="1" applyBorder="1" applyAlignment="1" applyProtection="1">
      <alignment horizontal="center" vertical="center" wrapText="1"/>
    </xf>
    <xf numFmtId="176" fontId="30" fillId="0" borderId="1" xfId="50" applyNumberFormat="1" applyFont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176" fontId="3" fillId="7" borderId="1" xfId="5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30" fillId="0" borderId="25" xfId="50" applyFont="1" applyBorder="1" applyAlignment="1" applyProtection="1">
      <alignment horizontal="center" vertical="center"/>
    </xf>
    <xf numFmtId="0" fontId="30" fillId="0" borderId="41" xfId="50" applyFont="1" applyBorder="1" applyAlignment="1" applyProtection="1">
      <alignment horizontal="center" vertical="center"/>
    </xf>
    <xf numFmtId="0" fontId="30" fillId="0" borderId="62" xfId="50" applyFont="1" applyBorder="1" applyAlignment="1" applyProtection="1">
      <alignment horizontal="center" vertical="center"/>
    </xf>
    <xf numFmtId="0" fontId="36" fillId="0" borderId="35" xfId="50" applyFont="1" applyBorder="1" applyAlignment="1" applyProtection="1">
      <alignment vertical="center"/>
    </xf>
    <xf numFmtId="176" fontId="21" fillId="3" borderId="40" xfId="50" applyNumberFormat="1" applyFont="1" applyFill="1" applyBorder="1" applyAlignment="1" applyProtection="1">
      <alignment horizontal="center" vertical="center"/>
    </xf>
    <xf numFmtId="176" fontId="21" fillId="3" borderId="32" xfId="50" applyNumberFormat="1" applyFont="1" applyFill="1" applyBorder="1" applyAlignment="1" applyProtection="1">
      <alignment horizontal="center" vertical="center"/>
    </xf>
    <xf numFmtId="176" fontId="30" fillId="2" borderId="53" xfId="50" applyNumberFormat="1" applyFont="1" applyFill="1" applyBorder="1" applyAlignment="1" applyProtection="1">
      <alignment horizontal="center" vertical="center"/>
    </xf>
    <xf numFmtId="176" fontId="30" fillId="2" borderId="48" xfId="50" applyNumberFormat="1" applyFont="1" applyFill="1" applyBorder="1" applyAlignment="1" applyProtection="1">
      <alignment horizontal="center" vertical="center"/>
    </xf>
    <xf numFmtId="176" fontId="3" fillId="0" borderId="25" xfId="50" applyNumberFormat="1" applyFont="1" applyBorder="1" applyAlignment="1" applyProtection="1">
      <alignment horizontal="center" vertical="center" wrapText="1"/>
    </xf>
    <xf numFmtId="176" fontId="3" fillId="0" borderId="48" xfId="50" applyNumberFormat="1" applyFont="1" applyBorder="1" applyAlignment="1" applyProtection="1">
      <alignment horizontal="center" vertical="center"/>
    </xf>
    <xf numFmtId="176" fontId="3" fillId="0" borderId="25" xfId="50" applyNumberFormat="1" applyFont="1" applyBorder="1" applyAlignment="1" applyProtection="1">
      <alignment horizontal="center" vertical="center"/>
    </xf>
    <xf numFmtId="176" fontId="3" fillId="7" borderId="25" xfId="50" applyNumberFormat="1" applyFont="1" applyFill="1" applyBorder="1" applyAlignment="1" applyProtection="1">
      <alignment horizontal="center" vertical="center"/>
    </xf>
    <xf numFmtId="0" fontId="30" fillId="0" borderId="25" xfId="50" applyFont="1" applyBorder="1" applyAlignment="1" applyProtection="1">
      <alignment horizontal="center" vertical="center" wrapText="1"/>
    </xf>
    <xf numFmtId="0" fontId="30" fillId="0" borderId="41" xfId="50" applyFont="1" applyBorder="1" applyAlignment="1" applyProtection="1">
      <alignment horizontal="center" vertical="center" wrapText="1"/>
    </xf>
    <xf numFmtId="0" fontId="30" fillId="0" borderId="62" xfId="50" applyFont="1" applyBorder="1" applyAlignment="1" applyProtection="1">
      <alignment horizontal="center" vertical="center" wrapText="1"/>
    </xf>
    <xf numFmtId="0" fontId="3" fillId="0" borderId="25" xfId="50" applyFont="1" applyBorder="1" applyAlignment="1" applyProtection="1">
      <alignment horizontal="center" vertical="center" wrapText="1"/>
    </xf>
    <xf numFmtId="0" fontId="3" fillId="0" borderId="62" xfId="50" applyFont="1" applyBorder="1" applyAlignment="1" applyProtection="1">
      <alignment horizontal="center" vertical="center" wrapText="1"/>
    </xf>
    <xf numFmtId="49" fontId="3" fillId="0" borderId="25" xfId="50" applyNumberFormat="1" applyFont="1" applyFill="1" applyBorder="1" applyAlignment="1" applyProtection="1">
      <alignment horizontal="center" vertical="center"/>
    </xf>
    <xf numFmtId="49" fontId="3" fillId="0" borderId="62" xfId="50" applyNumberFormat="1" applyFont="1" applyFill="1" applyBorder="1" applyAlignment="1" applyProtection="1">
      <alignment horizontal="center" vertical="center"/>
    </xf>
    <xf numFmtId="0" fontId="37" fillId="2" borderId="9" xfId="50" applyFont="1" applyFill="1" applyBorder="1" applyAlignment="1" applyProtection="1">
      <alignment vertical="center"/>
    </xf>
    <xf numFmtId="0" fontId="37" fillId="12" borderId="8" xfId="50" applyFont="1" applyFill="1" applyBorder="1" applyAlignment="1" applyProtection="1">
      <alignment vertical="center"/>
    </xf>
    <xf numFmtId="0" fontId="38" fillId="12" borderId="9" xfId="0" applyFont="1" applyFill="1" applyBorder="1" applyAlignment="1">
      <alignment vertical="center" wrapText="1"/>
    </xf>
    <xf numFmtId="0" fontId="38" fillId="12" borderId="50" xfId="0" applyFont="1" applyFill="1" applyBorder="1" applyAlignment="1">
      <alignment vertical="center" wrapText="1"/>
    </xf>
    <xf numFmtId="0" fontId="39" fillId="12" borderId="50" xfId="0" applyFont="1" applyFill="1" applyBorder="1" applyAlignment="1">
      <alignment horizontal="center" vertical="center" wrapText="1"/>
    </xf>
    <xf numFmtId="0" fontId="40" fillId="12" borderId="51" xfId="50" applyFont="1" applyFill="1" applyBorder="1" applyAlignment="1" applyProtection="1">
      <alignment horizontal="center" vertical="center"/>
    </xf>
    <xf numFmtId="176" fontId="40" fillId="12" borderId="50" xfId="50" applyNumberFormat="1" applyFont="1" applyFill="1" applyBorder="1" applyAlignment="1" applyProtection="1">
      <alignment horizontal="center" vertical="center"/>
    </xf>
    <xf numFmtId="0" fontId="37" fillId="2" borderId="10" xfId="50" applyFont="1" applyFill="1" applyBorder="1" applyAlignment="1" applyProtection="1">
      <alignment vertical="center"/>
    </xf>
    <xf numFmtId="0" fontId="37" fillId="12" borderId="37" xfId="50" applyFont="1" applyFill="1" applyBorder="1" applyAlignment="1" applyProtection="1">
      <alignment vertical="center"/>
    </xf>
    <xf numFmtId="176" fontId="38" fillId="12" borderId="34" xfId="0" applyNumberFormat="1" applyFont="1" applyFill="1" applyBorder="1" applyAlignment="1">
      <alignment vertical="center" wrapText="1"/>
    </xf>
    <xf numFmtId="0" fontId="40" fillId="12" borderId="61" xfId="0" applyNumberFormat="1" applyFont="1" applyFill="1" applyBorder="1" applyAlignment="1">
      <alignment horizontal="right" vertical="center" wrapText="1"/>
    </xf>
    <xf numFmtId="176" fontId="30" fillId="12" borderId="61" xfId="0" applyNumberFormat="1" applyFont="1" applyFill="1" applyBorder="1" applyAlignment="1">
      <alignment horizontal="right" vertical="center" wrapText="1"/>
    </xf>
    <xf numFmtId="176" fontId="30" fillId="12" borderId="37" xfId="50" applyNumberFormat="1" applyFont="1" applyFill="1" applyBorder="1" applyAlignment="1" applyProtection="1">
      <alignment horizontal="center" vertical="center"/>
    </xf>
    <xf numFmtId="176" fontId="15" fillId="12" borderId="35" xfId="50" applyNumberFormat="1" applyFont="1" applyFill="1" applyBorder="1" applyAlignment="1" applyProtection="1">
      <alignment horizontal="center" vertical="center"/>
    </xf>
    <xf numFmtId="176" fontId="15" fillId="12" borderId="36" xfId="50" applyNumberFormat="1" applyFont="1" applyFill="1" applyBorder="1" applyAlignment="1" applyProtection="1">
      <alignment horizontal="center" vertical="center"/>
    </xf>
    <xf numFmtId="176" fontId="41" fillId="2" borderId="6" xfId="50" applyNumberFormat="1" applyFont="1" applyFill="1" applyBorder="1" applyAlignment="1" applyProtection="1">
      <alignment horizontal="center" vertical="center" wrapText="1"/>
    </xf>
    <xf numFmtId="176" fontId="41" fillId="13" borderId="6" xfId="50" applyNumberFormat="1" applyFont="1" applyFill="1" applyBorder="1" applyAlignment="1" applyProtection="1">
      <alignment horizontal="center" vertical="center" wrapText="1"/>
    </xf>
    <xf numFmtId="176" fontId="41" fillId="13" borderId="3" xfId="50" applyNumberFormat="1" applyFont="1" applyFill="1" applyBorder="1" applyAlignment="1" applyProtection="1">
      <alignment horizontal="right" vertical="center" wrapText="1"/>
    </xf>
    <xf numFmtId="176" fontId="41" fillId="13" borderId="5" xfId="50" applyNumberFormat="1" applyFont="1" applyFill="1" applyBorder="1" applyAlignment="1" applyProtection="1">
      <alignment horizontal="right" vertical="center" wrapText="1"/>
    </xf>
    <xf numFmtId="176" fontId="41" fillId="13" borderId="67" xfId="50" applyNumberFormat="1" applyFont="1" applyFill="1" applyBorder="1" applyAlignment="1" applyProtection="1">
      <alignment horizontal="right" vertical="center" wrapText="1"/>
    </xf>
    <xf numFmtId="176" fontId="39" fillId="13" borderId="68" xfId="50" applyNumberFormat="1" applyFont="1" applyFill="1" applyBorder="1" applyAlignment="1" applyProtection="1">
      <alignment horizontal="right" vertical="center" wrapText="1"/>
    </xf>
    <xf numFmtId="176" fontId="39" fillId="13" borderId="17" xfId="50" applyNumberFormat="1" applyFont="1" applyFill="1" applyBorder="1" applyAlignment="1" applyProtection="1">
      <alignment horizontal="right" vertical="center" wrapText="1"/>
    </xf>
    <xf numFmtId="176" fontId="41" fillId="2" borderId="21" xfId="50" applyNumberFormat="1" applyFont="1" applyFill="1" applyBorder="1" applyAlignment="1" applyProtection="1">
      <alignment horizontal="center" vertical="center" wrapText="1"/>
    </xf>
    <xf numFmtId="176" fontId="41" fillId="13" borderId="21" xfId="50" applyNumberFormat="1" applyFont="1" applyFill="1" applyBorder="1" applyAlignment="1" applyProtection="1">
      <alignment horizontal="center" vertical="center" wrapText="1"/>
    </xf>
    <xf numFmtId="176" fontId="41" fillId="13" borderId="66" xfId="50" applyNumberFormat="1" applyFont="1" applyFill="1" applyBorder="1" applyAlignment="1" applyProtection="1">
      <alignment horizontal="right" vertical="center" wrapText="1"/>
    </xf>
    <xf numFmtId="176" fontId="41" fillId="13" borderId="0" xfId="50" applyNumberFormat="1" applyFont="1" applyFill="1" applyBorder="1" applyAlignment="1" applyProtection="1">
      <alignment horizontal="right" vertical="center" wrapText="1"/>
    </xf>
    <xf numFmtId="176" fontId="41" fillId="13" borderId="29" xfId="50" applyNumberFormat="1" applyFont="1" applyFill="1" applyBorder="1" applyAlignment="1" applyProtection="1">
      <alignment horizontal="right" vertical="center" wrapText="1"/>
    </xf>
    <xf numFmtId="176" fontId="39" fillId="13" borderId="69" xfId="50" applyNumberFormat="1" applyFont="1" applyFill="1" applyBorder="1" applyAlignment="1" applyProtection="1">
      <alignment horizontal="right" vertical="center" wrapText="1"/>
    </xf>
    <xf numFmtId="176" fontId="39" fillId="13" borderId="41" xfId="50" applyNumberFormat="1" applyFont="1" applyFill="1" applyBorder="1" applyAlignment="1" applyProtection="1">
      <alignment horizontal="right" vertical="center" wrapText="1"/>
    </xf>
    <xf numFmtId="176" fontId="41" fillId="2" borderId="12" xfId="50" applyNumberFormat="1" applyFont="1" applyFill="1" applyBorder="1" applyAlignment="1" applyProtection="1">
      <alignment horizontal="center" vertical="center" wrapText="1"/>
    </xf>
    <xf numFmtId="176" fontId="41" fillId="13" borderId="12" xfId="50" applyNumberFormat="1" applyFont="1" applyFill="1" applyBorder="1" applyAlignment="1" applyProtection="1">
      <alignment horizontal="center" vertical="center" wrapText="1"/>
    </xf>
    <xf numFmtId="176" fontId="41" fillId="13" borderId="10" xfId="50" applyNumberFormat="1" applyFont="1" applyFill="1" applyBorder="1" applyAlignment="1" applyProtection="1">
      <alignment horizontal="right" vertical="center" wrapText="1"/>
    </xf>
    <xf numFmtId="176" fontId="41" fillId="13" borderId="35" xfId="50" applyNumberFormat="1" applyFont="1" applyFill="1" applyBorder="1" applyAlignment="1" applyProtection="1">
      <alignment horizontal="right" vertical="center" wrapText="1"/>
    </xf>
    <xf numFmtId="176" fontId="41" fillId="13" borderId="37" xfId="50" applyNumberFormat="1" applyFont="1" applyFill="1" applyBorder="1" applyAlignment="1" applyProtection="1">
      <alignment horizontal="right" vertical="center" wrapText="1"/>
    </xf>
    <xf numFmtId="176" fontId="39" fillId="13" borderId="63" xfId="50" applyNumberFormat="1" applyFont="1" applyFill="1" applyBorder="1" applyAlignment="1" applyProtection="1">
      <alignment horizontal="center" vertical="center" wrapText="1"/>
    </xf>
    <xf numFmtId="176" fontId="39" fillId="13" borderId="42" xfId="50" applyNumberFormat="1" applyFont="1" applyFill="1" applyBorder="1" applyAlignment="1" applyProtection="1">
      <alignment horizontal="center" vertical="center" wrapText="1"/>
    </xf>
    <xf numFmtId="0" fontId="37" fillId="2" borderId="6" xfId="50" applyFont="1" applyFill="1" applyBorder="1" applyAlignment="1" applyProtection="1">
      <alignment horizontal="center" vertical="center"/>
    </xf>
    <xf numFmtId="0" fontId="42" fillId="14" borderId="6" xfId="50" applyFont="1" applyFill="1" applyBorder="1" applyAlignment="1" applyProtection="1">
      <alignment horizontal="center" vertical="center" wrapText="1"/>
    </xf>
    <xf numFmtId="0" fontId="42" fillId="14" borderId="3" xfId="50" applyFont="1" applyFill="1" applyBorder="1" applyAlignment="1" applyProtection="1">
      <alignment horizontal="center" vertical="center" wrapText="1"/>
    </xf>
    <xf numFmtId="0" fontId="42" fillId="14" borderId="67" xfId="50" applyFont="1" applyFill="1" applyBorder="1" applyAlignment="1" applyProtection="1">
      <alignment horizontal="center" vertical="center" wrapText="1"/>
    </xf>
    <xf numFmtId="0" fontId="30" fillId="14" borderId="9" xfId="50" applyFont="1" applyFill="1" applyBorder="1" applyAlignment="1" applyProtection="1">
      <alignment horizontal="right" vertical="center"/>
    </xf>
    <xf numFmtId="0" fontId="30" fillId="14" borderId="13" xfId="50" applyFont="1" applyFill="1" applyBorder="1" applyAlignment="1" applyProtection="1">
      <alignment horizontal="right" vertical="center"/>
    </xf>
    <xf numFmtId="0" fontId="37" fillId="2" borderId="21" xfId="50" applyFont="1" applyFill="1" applyBorder="1" applyAlignment="1" applyProtection="1">
      <alignment horizontal="center" vertical="center"/>
    </xf>
    <xf numFmtId="0" fontId="42" fillId="14" borderId="21" xfId="50" applyFont="1" applyFill="1" applyBorder="1" applyAlignment="1" applyProtection="1">
      <alignment horizontal="center" vertical="center" wrapText="1"/>
    </xf>
    <xf numFmtId="0" fontId="42" fillId="14" borderId="66" xfId="50" applyFont="1" applyFill="1" applyBorder="1" applyAlignment="1" applyProtection="1">
      <alignment horizontal="center" vertical="center" wrapText="1"/>
    </xf>
    <xf numFmtId="0" fontId="42" fillId="14" borderId="29" xfId="50" applyFont="1" applyFill="1" applyBorder="1" applyAlignment="1" applyProtection="1">
      <alignment horizontal="center" vertical="center" wrapText="1"/>
    </xf>
    <xf numFmtId="0" fontId="30" fillId="14" borderId="3" xfId="50" applyFont="1" applyFill="1" applyBorder="1" applyAlignment="1" applyProtection="1">
      <alignment horizontal="right" vertical="center" wrapText="1"/>
    </xf>
    <xf numFmtId="0" fontId="30" fillId="14" borderId="70" xfId="50" applyFont="1" applyFill="1" applyBorder="1" applyAlignment="1" applyProtection="1">
      <alignment horizontal="right" vertical="center" wrapText="1"/>
    </xf>
    <xf numFmtId="0" fontId="37" fillId="2" borderId="12" xfId="50" applyFont="1" applyFill="1" applyBorder="1" applyAlignment="1" applyProtection="1">
      <alignment horizontal="center" vertical="center"/>
    </xf>
    <xf numFmtId="0" fontId="42" fillId="14" borderId="12" xfId="50" applyFont="1" applyFill="1" applyBorder="1" applyAlignment="1" applyProtection="1">
      <alignment horizontal="center" vertical="center" wrapText="1"/>
    </xf>
    <xf numFmtId="0" fontId="42" fillId="14" borderId="10" xfId="50" applyFont="1" applyFill="1" applyBorder="1" applyAlignment="1" applyProtection="1">
      <alignment horizontal="center" vertical="center" wrapText="1"/>
    </xf>
    <xf numFmtId="0" fontId="42" fillId="14" borderId="37" xfId="50" applyFont="1" applyFill="1" applyBorder="1" applyAlignment="1" applyProtection="1">
      <alignment horizontal="center" vertical="center" wrapText="1"/>
    </xf>
    <xf numFmtId="0" fontId="30" fillId="14" borderId="10" xfId="50" applyFont="1" applyFill="1" applyBorder="1" applyAlignment="1" applyProtection="1">
      <alignment horizontal="right" vertical="center" wrapText="1"/>
    </xf>
    <xf numFmtId="0" fontId="30" fillId="14" borderId="71" xfId="50" applyFont="1" applyFill="1" applyBorder="1" applyAlignment="1" applyProtection="1">
      <alignment horizontal="right" vertical="center" wrapText="1"/>
    </xf>
    <xf numFmtId="0" fontId="42" fillId="2" borderId="66" xfId="50" applyFont="1" applyFill="1" applyBorder="1" applyAlignment="1" applyProtection="1">
      <alignment horizontal="center" vertical="center" wrapText="1"/>
    </xf>
    <xf numFmtId="49" fontId="43" fillId="0" borderId="0" xfId="0" applyNumberFormat="1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right" vertical="center" wrapText="1"/>
    </xf>
    <xf numFmtId="0" fontId="27" fillId="2" borderId="16" xfId="50" applyFont="1" applyFill="1" applyBorder="1" applyAlignment="1" applyProtection="1">
      <alignment horizontal="center" vertical="center" wrapText="1"/>
    </xf>
    <xf numFmtId="0" fontId="30" fillId="15" borderId="18" xfId="50" applyFont="1" applyFill="1" applyBorder="1" applyAlignment="1" applyProtection="1">
      <alignment horizontal="center" vertical="center"/>
    </xf>
    <xf numFmtId="176" fontId="30" fillId="15" borderId="40" xfId="50" applyNumberFormat="1" applyFont="1" applyFill="1" applyBorder="1" applyAlignment="1" applyProtection="1">
      <alignment horizontal="center" vertical="center"/>
    </xf>
    <xf numFmtId="0" fontId="27" fillId="15" borderId="16" xfId="0" applyFont="1" applyFill="1" applyBorder="1" applyAlignment="1">
      <alignment horizontal="center" vertical="center" wrapText="1"/>
    </xf>
    <xf numFmtId="0" fontId="24" fillId="15" borderId="18" xfId="0" applyFont="1" applyFill="1" applyBorder="1" applyAlignment="1">
      <alignment horizontal="center" vertical="center"/>
    </xf>
    <xf numFmtId="0" fontId="27" fillId="2" borderId="26" xfId="50" applyFont="1" applyFill="1" applyBorder="1" applyAlignment="1" applyProtection="1">
      <alignment horizontal="center" vertical="center" wrapText="1"/>
    </xf>
    <xf numFmtId="0" fontId="30" fillId="15" borderId="1" xfId="50" applyFont="1" applyFill="1" applyBorder="1" applyAlignment="1" applyProtection="1">
      <alignment horizontal="center" vertical="center"/>
    </xf>
    <xf numFmtId="176" fontId="30" fillId="15" borderId="25" xfId="50" applyNumberFormat="1" applyFont="1" applyFill="1" applyBorder="1" applyAlignment="1" applyProtection="1">
      <alignment horizontal="center" vertical="center"/>
    </xf>
    <xf numFmtId="0" fontId="27" fillId="15" borderId="26" xfId="0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27" fillId="2" borderId="38" xfId="50" applyFont="1" applyFill="1" applyBorder="1" applyAlignment="1" applyProtection="1">
      <alignment horizontal="center" vertical="center" wrapText="1"/>
    </xf>
    <xf numFmtId="0" fontId="15" fillId="15" borderId="43" xfId="0" applyFont="1" applyFill="1" applyBorder="1" applyAlignment="1">
      <alignment horizontal="center" vertical="center"/>
    </xf>
    <xf numFmtId="0" fontId="30" fillId="15" borderId="43" xfId="50" applyFont="1" applyFill="1" applyBorder="1" applyAlignment="1" applyProtection="1">
      <alignment horizontal="center" vertical="center"/>
    </xf>
    <xf numFmtId="0" fontId="21" fillId="15" borderId="43" xfId="50" applyFont="1" applyFill="1" applyBorder="1" applyAlignment="1" applyProtection="1">
      <alignment horizontal="right" vertical="center"/>
    </xf>
    <xf numFmtId="176" fontId="21" fillId="15" borderId="44" xfId="50" applyNumberFormat="1" applyFont="1" applyFill="1" applyBorder="1" applyAlignment="1" applyProtection="1">
      <alignment horizontal="center" vertical="center"/>
    </xf>
    <xf numFmtId="0" fontId="27" fillId="15" borderId="38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right" vertical="center"/>
    </xf>
    <xf numFmtId="0" fontId="27" fillId="2" borderId="66" xfId="5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30" fillId="2" borderId="0" xfId="50" applyFont="1" applyFill="1" applyBorder="1" applyAlignment="1" applyProtection="1">
      <alignment horizontal="center" vertical="center"/>
    </xf>
    <xf numFmtId="176" fontId="30" fillId="2" borderId="0" xfId="5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176" fontId="40" fillId="12" borderId="51" xfId="50" applyNumberFormat="1" applyFont="1" applyFill="1" applyBorder="1" applyAlignment="1" applyProtection="1">
      <alignment horizontal="center" vertical="center"/>
    </xf>
    <xf numFmtId="176" fontId="40" fillId="12" borderId="14" xfId="50" applyNumberFormat="1" applyFont="1" applyFill="1" applyBorder="1" applyAlignment="1" applyProtection="1">
      <alignment horizontal="center" vertical="center"/>
    </xf>
    <xf numFmtId="176" fontId="15" fillId="12" borderId="57" xfId="50" applyNumberFormat="1" applyFont="1" applyFill="1" applyBorder="1" applyAlignment="1" applyProtection="1">
      <alignment horizontal="center" vertical="center"/>
    </xf>
    <xf numFmtId="176" fontId="30" fillId="12" borderId="12" xfId="50" applyNumberFormat="1" applyFont="1" applyFill="1" applyBorder="1" applyAlignment="1" applyProtection="1">
      <alignment horizontal="center" vertical="center"/>
    </xf>
    <xf numFmtId="176" fontId="39" fillId="13" borderId="19" xfId="50" applyNumberFormat="1" applyFont="1" applyFill="1" applyBorder="1" applyAlignment="1" applyProtection="1">
      <alignment horizontal="right" vertical="center" wrapText="1"/>
    </xf>
    <xf numFmtId="176" fontId="30" fillId="13" borderId="72" xfId="50" applyNumberFormat="1" applyFont="1" applyFill="1" applyBorder="1" applyAlignment="1" applyProtection="1">
      <alignment horizontal="center" vertical="center" wrapText="1"/>
    </xf>
    <xf numFmtId="176" fontId="39" fillId="13" borderId="45" xfId="50" applyNumberFormat="1" applyFont="1" applyFill="1" applyBorder="1" applyAlignment="1" applyProtection="1">
      <alignment horizontal="right" vertical="center" wrapText="1"/>
    </xf>
    <xf numFmtId="176" fontId="30" fillId="13" borderId="56" xfId="50" applyNumberFormat="1" applyFont="1" applyFill="1" applyBorder="1" applyAlignment="1" applyProtection="1">
      <alignment horizontal="center" vertical="center" wrapText="1"/>
    </xf>
    <xf numFmtId="176" fontId="39" fillId="13" borderId="47" xfId="50" applyNumberFormat="1" applyFont="1" applyFill="1" applyBorder="1" applyAlignment="1" applyProtection="1">
      <alignment horizontal="center" vertical="center" wrapText="1"/>
    </xf>
    <xf numFmtId="176" fontId="30" fillId="13" borderId="58" xfId="50" applyNumberFormat="1" applyFont="1" applyFill="1" applyBorder="1" applyAlignment="1" applyProtection="1">
      <alignment horizontal="center" vertical="center" wrapText="1"/>
    </xf>
    <xf numFmtId="0" fontId="21" fillId="14" borderId="50" xfId="50" applyFont="1" applyFill="1" applyBorder="1" applyAlignment="1" applyProtection="1">
      <alignment horizontal="center" vertical="center"/>
    </xf>
    <xf numFmtId="176" fontId="30" fillId="16" borderId="14" xfId="50" applyNumberFormat="1" applyFont="1" applyFill="1" applyBorder="1" applyAlignment="1" applyProtection="1">
      <alignment horizontal="center" vertical="center"/>
    </xf>
    <xf numFmtId="0" fontId="30" fillId="14" borderId="18" xfId="50" applyFont="1" applyFill="1" applyBorder="1" applyAlignment="1" applyProtection="1">
      <alignment horizontal="center" vertical="center"/>
    </xf>
    <xf numFmtId="176" fontId="30" fillId="16" borderId="32" xfId="50" applyNumberFormat="1" applyFont="1" applyFill="1" applyBorder="1" applyAlignment="1" applyProtection="1">
      <alignment horizontal="center" vertical="center"/>
    </xf>
    <xf numFmtId="0" fontId="21" fillId="14" borderId="43" xfId="50" applyFont="1" applyFill="1" applyBorder="1" applyAlignment="1" applyProtection="1">
      <alignment horizontal="center" vertical="center"/>
    </xf>
    <xf numFmtId="176" fontId="30" fillId="16" borderId="39" xfId="5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76" fontId="24" fillId="15" borderId="32" xfId="0" applyNumberFormat="1" applyFont="1" applyFill="1" applyBorder="1">
      <alignment vertical="center"/>
    </xf>
    <xf numFmtId="176" fontId="24" fillId="15" borderId="48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25" fillId="15" borderId="39" xfId="0" applyNumberFormat="1" applyFont="1" applyFill="1" applyBorder="1">
      <alignment vertical="center"/>
    </xf>
    <xf numFmtId="0" fontId="47" fillId="2" borderId="35" xfId="50" applyFont="1" applyFill="1" applyBorder="1" applyAlignment="1" applyProtection="1">
      <alignment horizontal="right" vertical="center"/>
    </xf>
    <xf numFmtId="0" fontId="46" fillId="0" borderId="35" xfId="0" applyFont="1" applyBorder="1" applyAlignment="1">
      <alignment horizontal="right" vertical="center" wrapText="1"/>
    </xf>
    <xf numFmtId="0" fontId="10" fillId="2" borderId="67" xfId="50" applyFont="1" applyFill="1" applyBorder="1" applyAlignment="1" applyProtection="1">
      <alignment horizontal="center" vertical="center" wrapText="1"/>
    </xf>
    <xf numFmtId="0" fontId="30" fillId="17" borderId="15" xfId="50" applyFont="1" applyFill="1" applyBorder="1" applyAlignment="1" applyProtection="1">
      <alignment horizontal="center" vertical="center" wrapText="1"/>
    </xf>
    <xf numFmtId="176" fontId="30" fillId="17" borderId="73" xfId="50" applyNumberFormat="1" applyFont="1" applyFill="1" applyBorder="1" applyAlignment="1" applyProtection="1">
      <alignment horizontal="center" vertical="center" wrapText="1"/>
    </xf>
    <xf numFmtId="176" fontId="30" fillId="17" borderId="70" xfId="50" applyNumberFormat="1" applyFont="1" applyFill="1" applyBorder="1" applyAlignment="1" applyProtection="1">
      <alignment horizontal="center" vertical="center" wrapText="1"/>
    </xf>
    <xf numFmtId="0" fontId="30" fillId="17" borderId="33" xfId="50" applyFont="1" applyFill="1" applyBorder="1" applyAlignment="1" applyProtection="1">
      <alignment horizontal="center" vertical="center" wrapText="1"/>
    </xf>
    <xf numFmtId="0" fontId="30" fillId="17" borderId="16" xfId="50" applyFont="1" applyFill="1" applyBorder="1" applyAlignment="1" applyProtection="1">
      <alignment horizontal="center" vertical="center" wrapText="1"/>
    </xf>
    <xf numFmtId="0" fontId="30" fillId="17" borderId="18" xfId="50" applyFont="1" applyFill="1" applyBorder="1" applyAlignment="1" applyProtection="1">
      <alignment horizontal="center" vertical="center" wrapText="1"/>
    </xf>
    <xf numFmtId="176" fontId="30" fillId="17" borderId="18" xfId="50" applyNumberFormat="1" applyFont="1" applyFill="1" applyBorder="1" applyAlignment="1" applyProtection="1">
      <alignment horizontal="center" vertical="center" wrapText="1"/>
    </xf>
    <xf numFmtId="0" fontId="10" fillId="2" borderId="29" xfId="50" applyFont="1" applyFill="1" applyBorder="1" applyAlignment="1" applyProtection="1">
      <alignment horizontal="center" vertical="center" wrapText="1"/>
    </xf>
    <xf numFmtId="0" fontId="30" fillId="18" borderId="26" xfId="50" applyFont="1" applyFill="1" applyBorder="1" applyAlignment="1" applyProtection="1">
      <alignment horizontal="center" vertical="center" wrapText="1"/>
    </xf>
    <xf numFmtId="176" fontId="30" fillId="18" borderId="1" xfId="50" applyNumberFormat="1" applyFont="1" applyFill="1" applyBorder="1" applyAlignment="1" applyProtection="1">
      <alignment horizontal="center" vertical="center" wrapText="1"/>
    </xf>
    <xf numFmtId="0" fontId="30" fillId="18" borderId="48" xfId="50" applyFont="1" applyFill="1" applyBorder="1" applyAlignment="1" applyProtection="1">
      <alignment horizontal="center" vertical="center" wrapText="1"/>
    </xf>
    <xf numFmtId="0" fontId="30" fillId="18" borderId="1" xfId="50" applyFont="1" applyFill="1" applyBorder="1" applyAlignment="1" applyProtection="1">
      <alignment horizontal="center" vertical="center" wrapText="1"/>
    </xf>
    <xf numFmtId="0" fontId="30" fillId="19" borderId="26" xfId="50" applyFont="1" applyFill="1" applyBorder="1" applyAlignment="1" applyProtection="1">
      <alignment horizontal="center" vertical="center" wrapText="1"/>
    </xf>
    <xf numFmtId="176" fontId="30" fillId="19" borderId="1" xfId="50" applyNumberFormat="1" applyFont="1" applyFill="1" applyBorder="1" applyAlignment="1" applyProtection="1">
      <alignment horizontal="center" vertical="center" wrapText="1"/>
    </xf>
    <xf numFmtId="0" fontId="30" fillId="19" borderId="48" xfId="50" applyFont="1" applyFill="1" applyBorder="1" applyAlignment="1" applyProtection="1">
      <alignment horizontal="center" vertical="center" wrapText="1"/>
    </xf>
    <xf numFmtId="0" fontId="30" fillId="19" borderId="31" xfId="50" applyFont="1" applyFill="1" applyBorder="1" applyAlignment="1" applyProtection="1">
      <alignment horizontal="center" vertical="center" wrapText="1"/>
    </xf>
    <xf numFmtId="0" fontId="30" fillId="19" borderId="28" xfId="50" applyFont="1" applyFill="1" applyBorder="1" applyAlignment="1" applyProtection="1">
      <alignment horizontal="center" vertical="center" wrapText="1"/>
    </xf>
    <xf numFmtId="176" fontId="30" fillId="19" borderId="28" xfId="50" applyNumberFormat="1" applyFont="1" applyFill="1" applyBorder="1" applyAlignment="1" applyProtection="1">
      <alignment horizontal="center" vertical="center" wrapText="1"/>
    </xf>
    <xf numFmtId="0" fontId="30" fillId="20" borderId="38" xfId="50" applyFont="1" applyFill="1" applyBorder="1" applyAlignment="1" applyProtection="1">
      <alignment horizontal="center" vertical="center" wrapText="1"/>
    </xf>
    <xf numFmtId="176" fontId="30" fillId="20" borderId="43" xfId="50" applyNumberFormat="1" applyFont="1" applyFill="1" applyBorder="1" applyAlignment="1" applyProtection="1">
      <alignment horizontal="center" vertical="center" wrapText="1"/>
    </xf>
    <xf numFmtId="176" fontId="30" fillId="20" borderId="64" xfId="50" applyNumberFormat="1" applyFont="1" applyFill="1" applyBorder="1" applyAlignment="1" applyProtection="1">
      <alignment horizontal="center" vertical="center" wrapText="1"/>
    </xf>
    <xf numFmtId="0" fontId="30" fillId="20" borderId="44" xfId="50" applyFont="1" applyFill="1" applyBorder="1" applyAlignment="1" applyProtection="1">
      <alignment horizontal="center" vertical="center" wrapText="1"/>
    </xf>
    <xf numFmtId="0" fontId="30" fillId="21" borderId="74" xfId="50" applyFont="1" applyFill="1" applyBorder="1" applyAlignment="1" applyProtection="1">
      <alignment horizontal="center" vertical="center" wrapText="1"/>
    </xf>
    <xf numFmtId="0" fontId="30" fillId="21" borderId="75" xfId="50" applyNumberFormat="1" applyFont="1" applyFill="1" applyBorder="1" applyAlignment="1" applyProtection="1">
      <alignment horizontal="center" vertical="center" wrapText="1"/>
    </xf>
    <xf numFmtId="176" fontId="30" fillId="21" borderId="76" xfId="50" applyNumberFormat="1" applyFont="1" applyFill="1" applyBorder="1" applyAlignment="1" applyProtection="1">
      <alignment horizontal="center" vertical="center" wrapText="1"/>
    </xf>
    <xf numFmtId="0" fontId="30" fillId="2" borderId="27" xfId="50" applyFont="1" applyFill="1" applyBorder="1" applyAlignment="1" applyProtection="1">
      <alignment horizontal="center" vertical="center" wrapText="1"/>
    </xf>
    <xf numFmtId="0" fontId="30" fillId="2" borderId="30" xfId="50" applyNumberFormat="1" applyFont="1" applyFill="1" applyBorder="1" applyAlignment="1" applyProtection="1">
      <alignment horizontal="center" vertical="center" wrapText="1"/>
    </xf>
    <xf numFmtId="176" fontId="30" fillId="2" borderId="52" xfId="50" applyNumberFormat="1" applyFont="1" applyFill="1" applyBorder="1" applyAlignment="1" applyProtection="1">
      <alignment horizontal="center" vertical="center" wrapText="1"/>
    </xf>
    <xf numFmtId="0" fontId="30" fillId="2" borderId="0" xfId="50" applyFont="1" applyFill="1" applyBorder="1" applyAlignment="1" applyProtection="1">
      <alignment horizontal="center" vertical="center" wrapText="1"/>
    </xf>
    <xf numFmtId="0" fontId="30" fillId="22" borderId="77" xfId="50" applyFont="1" applyFill="1" applyBorder="1" applyAlignment="1" applyProtection="1">
      <alignment horizontal="center" vertical="center" wrapText="1"/>
    </xf>
    <xf numFmtId="0" fontId="30" fillId="22" borderId="1" xfId="50" applyNumberFormat="1" applyFont="1" applyFill="1" applyBorder="1" applyAlignment="1" applyProtection="1">
      <alignment horizontal="center" vertical="center" wrapText="1"/>
    </xf>
    <xf numFmtId="176" fontId="30" fillId="22" borderId="1" xfId="50" applyNumberFormat="1" applyFont="1" applyFill="1" applyBorder="1" applyAlignment="1" applyProtection="1">
      <alignment horizontal="center" vertical="center" wrapText="1"/>
    </xf>
    <xf numFmtId="0" fontId="30" fillId="2" borderId="78" xfId="50" applyFont="1" applyFill="1" applyBorder="1" applyAlignment="1" applyProtection="1">
      <alignment horizontal="center" vertical="center" wrapText="1"/>
    </xf>
    <xf numFmtId="0" fontId="30" fillId="2" borderId="1" xfId="50" applyNumberFormat="1" applyFont="1" applyFill="1" applyBorder="1" applyAlignment="1" applyProtection="1">
      <alignment horizontal="center" vertical="center" wrapText="1"/>
    </xf>
    <xf numFmtId="176" fontId="30" fillId="2" borderId="79" xfId="50" applyNumberFormat="1" applyFont="1" applyFill="1" applyBorder="1" applyAlignment="1" applyProtection="1">
      <alignment horizontal="center" vertical="center" wrapText="1"/>
    </xf>
    <xf numFmtId="0" fontId="30" fillId="2" borderId="80" xfId="50" applyFont="1" applyFill="1" applyBorder="1" applyAlignment="1" applyProtection="1">
      <alignment horizontal="center" vertical="center" wrapText="1"/>
    </xf>
    <xf numFmtId="0" fontId="30" fillId="12" borderId="81" xfId="50" applyFont="1" applyFill="1" applyBorder="1" applyAlignment="1" applyProtection="1">
      <alignment horizontal="center" vertical="center" wrapText="1"/>
    </xf>
    <xf numFmtId="0" fontId="30" fillId="12" borderId="28" xfId="50" applyNumberFormat="1" applyFont="1" applyFill="1" applyBorder="1" applyAlignment="1" applyProtection="1">
      <alignment horizontal="center" vertical="center" wrapText="1"/>
    </xf>
    <xf numFmtId="176" fontId="30" fillId="12" borderId="82" xfId="50" applyNumberFormat="1" applyFont="1" applyFill="1" applyBorder="1" applyAlignment="1" applyProtection="1">
      <alignment horizontal="center" vertical="center" wrapText="1"/>
    </xf>
    <xf numFmtId="0" fontId="30" fillId="2" borderId="38" xfId="50" applyFont="1" applyFill="1" applyBorder="1" applyAlignment="1" applyProtection="1">
      <alignment horizontal="center" vertical="center" wrapText="1"/>
    </xf>
    <xf numFmtId="0" fontId="30" fillId="2" borderId="36" xfId="50" applyNumberFormat="1" applyFont="1" applyFill="1" applyBorder="1" applyAlignment="1" applyProtection="1">
      <alignment horizontal="center" vertical="center" wrapText="1"/>
    </xf>
    <xf numFmtId="176" fontId="30" fillId="2" borderId="64" xfId="50" applyNumberFormat="1" applyFont="1" applyFill="1" applyBorder="1" applyAlignment="1" applyProtection="1">
      <alignment horizontal="center" vertical="center" wrapText="1"/>
    </xf>
    <xf numFmtId="0" fontId="30" fillId="2" borderId="44" xfId="50" applyFont="1" applyFill="1" applyBorder="1" applyAlignment="1" applyProtection="1">
      <alignment horizontal="center" vertical="center" wrapText="1"/>
    </xf>
    <xf numFmtId="0" fontId="30" fillId="23" borderId="83" xfId="50" applyFont="1" applyFill="1" applyBorder="1" applyAlignment="1" applyProtection="1">
      <alignment horizontal="center" vertical="center" wrapText="1"/>
    </xf>
    <xf numFmtId="0" fontId="30" fillId="23" borderId="84" xfId="50" applyNumberFormat="1" applyFont="1" applyFill="1" applyBorder="1" applyAlignment="1" applyProtection="1">
      <alignment horizontal="center" vertical="center" wrapText="1"/>
    </xf>
    <xf numFmtId="176" fontId="30" fillId="23" borderId="85" xfId="50" applyNumberFormat="1" applyFont="1" applyFill="1" applyBorder="1" applyAlignment="1" applyProtection="1">
      <alignment horizontal="center" vertical="center" wrapText="1"/>
    </xf>
    <xf numFmtId="0" fontId="21" fillId="2" borderId="3" xfId="50" applyFont="1" applyFill="1" applyBorder="1" applyAlignment="1" applyProtection="1">
      <alignment vertical="center" wrapText="1"/>
    </xf>
    <xf numFmtId="0" fontId="21" fillId="2" borderId="6" xfId="50" applyFont="1" applyFill="1" applyBorder="1" applyAlignment="1" applyProtection="1">
      <alignment vertical="center" wrapText="1"/>
    </xf>
    <xf numFmtId="0" fontId="19" fillId="2" borderId="5" xfId="50" applyFont="1" applyFill="1" applyBorder="1" applyAlignment="1" applyProtection="1">
      <alignment horizontal="right" vertical="center" wrapText="1"/>
    </xf>
    <xf numFmtId="0" fontId="19" fillId="2" borderId="0" xfId="50" applyFont="1" applyFill="1" applyBorder="1" applyAlignment="1" applyProtection="1">
      <alignment horizontal="right" vertical="center" wrapText="1"/>
    </xf>
    <xf numFmtId="176" fontId="21" fillId="2" borderId="21" xfId="50" applyNumberFormat="1" applyFont="1" applyFill="1" applyBorder="1" applyAlignment="1" applyProtection="1">
      <alignment vertical="center" wrapText="1"/>
    </xf>
    <xf numFmtId="49" fontId="30" fillId="22" borderId="16" xfId="0" applyNumberFormat="1" applyFont="1" applyFill="1" applyBorder="1" applyAlignment="1">
      <alignment horizontal="center" vertical="center"/>
    </xf>
    <xf numFmtId="49" fontId="30" fillId="22" borderId="33" xfId="0" applyNumberFormat="1" applyFont="1" applyFill="1" applyBorder="1" applyAlignment="1">
      <alignment horizontal="center" vertical="center"/>
    </xf>
    <xf numFmtId="176" fontId="30" fillId="22" borderId="65" xfId="0" applyNumberFormat="1" applyFont="1" applyFill="1" applyBorder="1" applyAlignment="1">
      <alignment horizontal="center" vertical="center"/>
    </xf>
    <xf numFmtId="0" fontId="30" fillId="22" borderId="86" xfId="50" applyFont="1" applyFill="1" applyBorder="1" applyAlignment="1" applyProtection="1">
      <alignment horizontal="center" vertical="center" wrapText="1"/>
    </xf>
    <xf numFmtId="49" fontId="30" fillId="4" borderId="16" xfId="0" applyNumberFormat="1" applyFont="1" applyFill="1" applyBorder="1" applyAlignment="1">
      <alignment horizontal="center" vertical="center"/>
    </xf>
    <xf numFmtId="49" fontId="30" fillId="4" borderId="18" xfId="0" applyNumberFormat="1" applyFont="1" applyFill="1" applyBorder="1" applyAlignment="1">
      <alignment horizontal="center" vertical="center"/>
    </xf>
    <xf numFmtId="176" fontId="30" fillId="4" borderId="18" xfId="0" applyNumberFormat="1" applyFont="1" applyFill="1" applyBorder="1" applyAlignment="1">
      <alignment horizontal="center" vertical="center"/>
    </xf>
    <xf numFmtId="49" fontId="30" fillId="22" borderId="26" xfId="0" applyNumberFormat="1" applyFont="1" applyFill="1" applyBorder="1" applyAlignment="1">
      <alignment horizontal="center" vertical="center"/>
    </xf>
    <xf numFmtId="49" fontId="30" fillId="22" borderId="48" xfId="0" applyNumberFormat="1" applyFont="1" applyFill="1" applyBorder="1" applyAlignment="1">
      <alignment horizontal="center" vertical="center"/>
    </xf>
    <xf numFmtId="176" fontId="30" fillId="22" borderId="62" xfId="0" applyNumberFormat="1" applyFont="1" applyFill="1" applyBorder="1" applyAlignment="1">
      <alignment horizontal="center" vertical="center"/>
    </xf>
    <xf numFmtId="0" fontId="30" fillId="22" borderId="87" xfId="50" applyFont="1" applyFill="1" applyBorder="1" applyAlignment="1" applyProtection="1">
      <alignment horizontal="center" vertical="center" wrapText="1"/>
    </xf>
    <xf numFmtId="49" fontId="30" fillId="4" borderId="26" xfId="0" applyNumberFormat="1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176" fontId="30" fillId="4" borderId="1" xfId="0" applyNumberFormat="1" applyFont="1" applyFill="1" applyBorder="1" applyAlignment="1">
      <alignment horizontal="center" vertical="center"/>
    </xf>
    <xf numFmtId="0" fontId="30" fillId="22" borderId="88" xfId="50" applyFont="1" applyFill="1" applyBorder="1" applyAlignment="1" applyProtection="1">
      <alignment horizontal="center" vertical="center" wrapText="1"/>
    </xf>
    <xf numFmtId="0" fontId="30" fillId="4" borderId="26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49" fontId="30" fillId="22" borderId="38" xfId="0" applyNumberFormat="1" applyFont="1" applyFill="1" applyBorder="1" applyAlignment="1">
      <alignment horizontal="center" vertical="center"/>
    </xf>
    <xf numFmtId="49" fontId="30" fillId="22" borderId="61" xfId="0" applyNumberFormat="1" applyFont="1" applyFill="1" applyBorder="1" applyAlignment="1">
      <alignment horizontal="center" vertical="center"/>
    </xf>
    <xf numFmtId="176" fontId="30" fillId="22" borderId="64" xfId="0" applyNumberFormat="1" applyFont="1" applyFill="1" applyBorder="1" applyAlignment="1">
      <alignment horizontal="center" vertical="center"/>
    </xf>
    <xf numFmtId="0" fontId="30" fillId="22" borderId="89" xfId="50" applyFont="1" applyFill="1" applyBorder="1" applyAlignment="1" applyProtection="1">
      <alignment horizontal="center" vertical="center" wrapText="1"/>
    </xf>
    <xf numFmtId="0" fontId="30" fillId="4" borderId="38" xfId="0" applyFont="1" applyFill="1" applyBorder="1" applyAlignment="1">
      <alignment horizontal="center" vertical="center"/>
    </xf>
    <xf numFmtId="0" fontId="30" fillId="4" borderId="43" xfId="0" applyFont="1" applyFill="1" applyBorder="1" applyAlignment="1">
      <alignment horizontal="center" vertical="center"/>
    </xf>
    <xf numFmtId="176" fontId="30" fillId="4" borderId="43" xfId="0" applyNumberFormat="1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19" fillId="2" borderId="7" xfId="50" applyFont="1" applyFill="1" applyBorder="1" applyAlignment="1" applyProtection="1">
      <alignment horizontal="right" vertical="center" wrapText="1"/>
    </xf>
    <xf numFmtId="0" fontId="19" fillId="2" borderId="35" xfId="50" applyFont="1" applyFill="1" applyBorder="1" applyAlignment="1" applyProtection="1">
      <alignment horizontal="right" vertical="center" wrapText="1"/>
    </xf>
    <xf numFmtId="176" fontId="21" fillId="0" borderId="60" xfId="0" applyNumberFormat="1" applyFont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 applyBorder="1">
      <alignment vertical="center"/>
    </xf>
    <xf numFmtId="0" fontId="30" fillId="17" borderId="32" xfId="50" applyFont="1" applyFill="1" applyBorder="1" applyAlignment="1" applyProtection="1">
      <alignment horizontal="center" vertical="center" wrapText="1"/>
    </xf>
    <xf numFmtId="0" fontId="30" fillId="17" borderId="48" xfId="50" applyFont="1" applyFill="1" applyBorder="1" applyAlignment="1" applyProtection="1">
      <alignment horizontal="center" vertical="center" wrapText="1"/>
    </xf>
    <xf numFmtId="0" fontId="30" fillId="17" borderId="54" xfId="50" applyFont="1" applyFill="1" applyBorder="1" applyAlignment="1" applyProtection="1">
      <alignment horizontal="center" vertical="center" wrapText="1"/>
    </xf>
    <xf numFmtId="0" fontId="30" fillId="21" borderId="86" xfId="50" applyFont="1" applyFill="1" applyBorder="1" applyAlignment="1" applyProtection="1">
      <alignment horizontal="center" vertical="center" wrapText="1"/>
    </xf>
    <xf numFmtId="0" fontId="30" fillId="12" borderId="88" xfId="50" applyFont="1" applyFill="1" applyBorder="1" applyAlignment="1" applyProtection="1">
      <alignment horizontal="center" vertical="center" wrapText="1"/>
    </xf>
    <xf numFmtId="0" fontId="30" fillId="23" borderId="89" xfId="50" applyFont="1" applyFill="1" applyBorder="1" applyAlignment="1" applyProtection="1">
      <alignment horizontal="center" vertical="center" wrapText="1"/>
    </xf>
    <xf numFmtId="176" fontId="19" fillId="2" borderId="29" xfId="50" applyNumberFormat="1" applyFont="1" applyFill="1" applyBorder="1" applyAlignment="1" applyProtection="1">
      <alignment vertical="center" wrapText="1"/>
    </xf>
    <xf numFmtId="49" fontId="30" fillId="4" borderId="3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>
      <alignment vertical="center"/>
    </xf>
    <xf numFmtId="49" fontId="30" fillId="4" borderId="48" xfId="0" applyNumberFormat="1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30" fillId="4" borderId="3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tabSelected="1" workbookViewId="0">
      <pane xSplit="1" ySplit="5" topLeftCell="B222" activePane="bottomRight" state="frozen"/>
      <selection/>
      <selection pane="topRight"/>
      <selection pane="bottomLeft"/>
      <selection pane="bottomRight" activeCell="F235" sqref="F235:I235"/>
    </sheetView>
  </sheetViews>
  <sheetFormatPr defaultColWidth="10" defaultRowHeight="13.5"/>
  <cols>
    <col min="1" max="1" width="6" style="371" customWidth="1"/>
    <col min="2" max="2" width="14" customWidth="1"/>
    <col min="3" max="4" width="17" style="250" customWidth="1"/>
    <col min="5" max="5" width="24" style="250" customWidth="1"/>
    <col min="6" max="6" width="18.3716814159292" customWidth="1"/>
    <col min="7" max="7" width="17.7522123893805" style="250" customWidth="1"/>
    <col min="8" max="8" width="16.6283185840708" customWidth="1"/>
    <col min="9" max="9" width="17.6283185840708" customWidth="1"/>
    <col min="10" max="10" width="16.7522123893805" customWidth="1"/>
    <col min="11" max="11" width="4" customWidth="1"/>
    <col min="12" max="12" width="16" customWidth="1"/>
  </cols>
  <sheetData>
    <row r="1" ht="20.25" customHeight="1" spans="1:11">
      <c r="A1" s="372"/>
      <c r="B1" s="373" t="s">
        <v>0</v>
      </c>
      <c r="C1" s="373"/>
      <c r="D1" s="373"/>
      <c r="E1" s="373"/>
      <c r="F1" s="373"/>
      <c r="G1" s="373"/>
      <c r="H1" s="373"/>
      <c r="I1" s="373"/>
      <c r="J1" s="373"/>
      <c r="K1" s="167"/>
    </row>
    <row r="2" ht="26.25" customHeight="1" spans="1:11">
      <c r="A2" s="374"/>
      <c r="B2" s="375"/>
      <c r="C2" s="375"/>
      <c r="D2" s="375"/>
      <c r="E2" s="375"/>
      <c r="F2" s="375"/>
      <c r="G2" s="375"/>
      <c r="H2" s="375"/>
      <c r="I2" s="375"/>
      <c r="J2" s="375"/>
      <c r="K2" s="167"/>
    </row>
    <row r="3" ht="16.5" customHeight="1" spans="1:11">
      <c r="A3" s="376"/>
      <c r="B3" s="375"/>
      <c r="C3" s="375"/>
      <c r="D3" s="375"/>
      <c r="E3" s="375"/>
      <c r="F3" s="375"/>
      <c r="G3" s="375"/>
      <c r="H3" s="375"/>
      <c r="I3" s="375"/>
      <c r="J3" s="375"/>
      <c r="K3" s="167"/>
    </row>
    <row r="4" ht="21" customHeight="1" spans="1:11">
      <c r="A4" s="377"/>
      <c r="B4" s="378" t="s">
        <v>1</v>
      </c>
      <c r="C4" s="378"/>
      <c r="D4" s="379" t="s">
        <v>2</v>
      </c>
      <c r="E4" s="379"/>
      <c r="F4" s="379"/>
      <c r="G4" s="379"/>
      <c r="H4" s="379"/>
      <c r="I4" s="379"/>
      <c r="J4" s="400"/>
      <c r="K4" s="167"/>
    </row>
    <row r="5" ht="22.5" customHeight="1" spans="1:11">
      <c r="A5" s="380" t="s">
        <v>3</v>
      </c>
      <c r="B5" s="258" t="s">
        <v>4</v>
      </c>
      <c r="C5" s="258" t="s">
        <v>5</v>
      </c>
      <c r="D5" s="258" t="s">
        <v>6</v>
      </c>
      <c r="E5" s="381" t="s">
        <v>7</v>
      </c>
      <c r="F5" s="258" t="s">
        <v>8</v>
      </c>
      <c r="G5" s="258" t="s">
        <v>9</v>
      </c>
      <c r="H5" s="382" t="s">
        <v>10</v>
      </c>
      <c r="I5" s="401" t="s">
        <v>11</v>
      </c>
      <c r="J5" s="402" t="s">
        <v>12</v>
      </c>
      <c r="K5" s="345"/>
    </row>
    <row r="6" ht="22.5" customHeight="1" spans="1:11">
      <c r="A6" s="383"/>
      <c r="B6" s="384" t="s">
        <v>13</v>
      </c>
      <c r="C6" s="385"/>
      <c r="D6" s="385"/>
      <c r="E6" s="385"/>
      <c r="F6" s="386"/>
      <c r="G6" s="387"/>
      <c r="H6" s="388"/>
      <c r="I6" s="403"/>
      <c r="J6" s="404">
        <v>625817.45</v>
      </c>
      <c r="K6" s="345"/>
    </row>
    <row r="7" ht="18" customHeight="1" spans="1:11">
      <c r="A7" s="389">
        <v>1</v>
      </c>
      <c r="B7" s="9" t="s">
        <v>14</v>
      </c>
      <c r="C7" s="7" t="s">
        <v>15</v>
      </c>
      <c r="D7" s="9" t="s">
        <v>16</v>
      </c>
      <c r="E7" s="9" t="s">
        <v>17</v>
      </c>
      <c r="F7" s="390"/>
      <c r="G7" s="391">
        <v>16800</v>
      </c>
      <c r="H7" s="392"/>
      <c r="I7" s="405"/>
      <c r="J7" s="406">
        <f>J6+G7+H7-I7</f>
        <v>642617.45</v>
      </c>
      <c r="K7" s="345"/>
    </row>
    <row r="8" ht="18" customHeight="1" spans="1:11">
      <c r="A8" s="389">
        <v>2</v>
      </c>
      <c r="B8" s="9" t="s">
        <v>14</v>
      </c>
      <c r="C8" s="9" t="s">
        <v>18</v>
      </c>
      <c r="D8" s="9" t="s">
        <v>16</v>
      </c>
      <c r="E8" s="9" t="s">
        <v>17</v>
      </c>
      <c r="F8" s="390"/>
      <c r="G8" s="391">
        <v>16800</v>
      </c>
      <c r="H8" s="393"/>
      <c r="I8" s="405"/>
      <c r="J8" s="406">
        <f t="shared" ref="J8:J71" si="0">J7+G8+H8-I8</f>
        <v>659417.45</v>
      </c>
      <c r="K8" s="345"/>
    </row>
    <row r="9" ht="18" customHeight="1" spans="1:11">
      <c r="A9" s="389">
        <v>3</v>
      </c>
      <c r="B9" s="9" t="s">
        <v>14</v>
      </c>
      <c r="C9" s="9" t="s">
        <v>19</v>
      </c>
      <c r="D9" s="9" t="s">
        <v>16</v>
      </c>
      <c r="E9" s="9" t="s">
        <v>17</v>
      </c>
      <c r="F9" s="7"/>
      <c r="G9" s="391">
        <v>2000</v>
      </c>
      <c r="H9" s="393"/>
      <c r="I9" s="405"/>
      <c r="J9" s="406">
        <f t="shared" si="0"/>
        <v>661417.45</v>
      </c>
      <c r="K9" s="345"/>
    </row>
    <row r="10" ht="18" customHeight="1" spans="1:11">
      <c r="A10" s="389">
        <v>4</v>
      </c>
      <c r="B10" s="9" t="s">
        <v>14</v>
      </c>
      <c r="C10" s="12" t="s">
        <v>20</v>
      </c>
      <c r="D10" s="12" t="s">
        <v>21</v>
      </c>
      <c r="E10" s="9" t="s">
        <v>17</v>
      </c>
      <c r="F10" s="9"/>
      <c r="G10" s="391">
        <v>2000</v>
      </c>
      <c r="H10" s="391"/>
      <c r="I10" s="407"/>
      <c r="J10" s="406">
        <f t="shared" si="0"/>
        <v>663417.45</v>
      </c>
      <c r="K10" s="345"/>
    </row>
    <row r="11" ht="18" customHeight="1" spans="1:11">
      <c r="A11" s="389">
        <v>5</v>
      </c>
      <c r="B11" s="9" t="s">
        <v>14</v>
      </c>
      <c r="C11" s="9" t="s">
        <v>22</v>
      </c>
      <c r="D11" s="9"/>
      <c r="E11" s="9" t="s">
        <v>17</v>
      </c>
      <c r="F11" s="9"/>
      <c r="G11" s="391">
        <v>888</v>
      </c>
      <c r="H11" s="391"/>
      <c r="I11" s="407"/>
      <c r="J11" s="406">
        <f t="shared" si="0"/>
        <v>664305.45</v>
      </c>
      <c r="K11" s="345"/>
    </row>
    <row r="12" ht="18" customHeight="1" spans="1:11">
      <c r="A12" s="389">
        <v>6</v>
      </c>
      <c r="B12" s="9" t="s">
        <v>14</v>
      </c>
      <c r="C12" s="9" t="s">
        <v>23</v>
      </c>
      <c r="D12" s="9" t="s">
        <v>24</v>
      </c>
      <c r="E12" s="9" t="s">
        <v>17</v>
      </c>
      <c r="F12" s="394"/>
      <c r="G12" s="391">
        <v>1000</v>
      </c>
      <c r="H12" s="391"/>
      <c r="I12" s="407"/>
      <c r="J12" s="406">
        <f t="shared" si="0"/>
        <v>665305.45</v>
      </c>
      <c r="K12" s="345"/>
    </row>
    <row r="13" ht="18" customHeight="1" spans="1:11">
      <c r="A13" s="389">
        <v>7</v>
      </c>
      <c r="B13" s="9" t="s">
        <v>14</v>
      </c>
      <c r="C13" s="9" t="s">
        <v>25</v>
      </c>
      <c r="D13" s="9" t="s">
        <v>26</v>
      </c>
      <c r="E13" s="9" t="s">
        <v>17</v>
      </c>
      <c r="F13" s="9"/>
      <c r="G13" s="391">
        <v>3800</v>
      </c>
      <c r="H13" s="391"/>
      <c r="I13" s="407"/>
      <c r="J13" s="406">
        <f t="shared" si="0"/>
        <v>669105.45</v>
      </c>
      <c r="K13" s="345"/>
    </row>
    <row r="14" ht="18" customHeight="1" spans="1:11">
      <c r="A14" s="389">
        <v>8</v>
      </c>
      <c r="B14" s="9" t="s">
        <v>14</v>
      </c>
      <c r="C14" s="9" t="s">
        <v>27</v>
      </c>
      <c r="D14" s="9" t="s">
        <v>28</v>
      </c>
      <c r="E14" s="9" t="s">
        <v>17</v>
      </c>
      <c r="F14" s="394"/>
      <c r="G14" s="391">
        <v>2000</v>
      </c>
      <c r="H14" s="395"/>
      <c r="I14" s="408"/>
      <c r="J14" s="406">
        <f t="shared" si="0"/>
        <v>671105.45</v>
      </c>
      <c r="K14" s="345"/>
    </row>
    <row r="15" ht="18" customHeight="1" spans="1:11">
      <c r="A15" s="389">
        <v>9</v>
      </c>
      <c r="B15" s="9" t="s">
        <v>14</v>
      </c>
      <c r="C15" s="9" t="s">
        <v>29</v>
      </c>
      <c r="D15" s="9" t="s">
        <v>30</v>
      </c>
      <c r="E15" s="9" t="s">
        <v>17</v>
      </c>
      <c r="F15" s="394"/>
      <c r="G15" s="391">
        <v>1689</v>
      </c>
      <c r="H15" s="395"/>
      <c r="I15" s="408"/>
      <c r="J15" s="406">
        <f t="shared" si="0"/>
        <v>672794.45</v>
      </c>
      <c r="K15" s="345"/>
    </row>
    <row r="16" ht="18" customHeight="1" spans="1:11">
      <c r="A16" s="389">
        <v>10</v>
      </c>
      <c r="B16" s="9" t="s">
        <v>14</v>
      </c>
      <c r="C16" s="9" t="s">
        <v>31</v>
      </c>
      <c r="D16" s="9" t="s">
        <v>26</v>
      </c>
      <c r="E16" s="9" t="s">
        <v>17</v>
      </c>
      <c r="F16" s="394"/>
      <c r="G16" s="391">
        <v>1000</v>
      </c>
      <c r="H16" s="395"/>
      <c r="I16" s="408"/>
      <c r="J16" s="406">
        <f t="shared" si="0"/>
        <v>673794.45</v>
      </c>
      <c r="K16" s="345"/>
    </row>
    <row r="17" ht="18" customHeight="1" spans="1:11">
      <c r="A17" s="389">
        <v>11</v>
      </c>
      <c r="B17" s="9" t="s">
        <v>32</v>
      </c>
      <c r="C17" s="9" t="s">
        <v>33</v>
      </c>
      <c r="D17" s="9" t="s">
        <v>34</v>
      </c>
      <c r="E17" s="9" t="s">
        <v>17</v>
      </c>
      <c r="F17" s="394"/>
      <c r="G17" s="391">
        <v>388</v>
      </c>
      <c r="H17" s="395"/>
      <c r="I17" s="408"/>
      <c r="J17" s="406">
        <f t="shared" si="0"/>
        <v>674182.45</v>
      </c>
      <c r="K17" s="345"/>
    </row>
    <row r="18" ht="18" customHeight="1" spans="1:11">
      <c r="A18" s="389">
        <v>12</v>
      </c>
      <c r="B18" s="9" t="s">
        <v>32</v>
      </c>
      <c r="C18" s="9" t="s">
        <v>35</v>
      </c>
      <c r="D18" s="9"/>
      <c r="E18" s="9" t="s">
        <v>17</v>
      </c>
      <c r="F18" s="394"/>
      <c r="G18" s="391">
        <v>2889.99</v>
      </c>
      <c r="H18" s="395"/>
      <c r="I18" s="408"/>
      <c r="J18" s="406">
        <f t="shared" si="0"/>
        <v>677072.44</v>
      </c>
      <c r="K18" s="345"/>
    </row>
    <row r="19" ht="18" customHeight="1" spans="1:11">
      <c r="A19" s="389">
        <v>13</v>
      </c>
      <c r="B19" s="9" t="s">
        <v>32</v>
      </c>
      <c r="C19" s="9" t="s">
        <v>36</v>
      </c>
      <c r="D19" s="9" t="s">
        <v>37</v>
      </c>
      <c r="E19" s="9" t="s">
        <v>17</v>
      </c>
      <c r="F19" s="394"/>
      <c r="G19" s="391">
        <v>1888.99</v>
      </c>
      <c r="H19" s="395"/>
      <c r="I19" s="408"/>
      <c r="J19" s="406">
        <f t="shared" si="0"/>
        <v>678961.43</v>
      </c>
      <c r="K19" s="345"/>
    </row>
    <row r="20" ht="18" customHeight="1" spans="1:11">
      <c r="A20" s="389">
        <v>14</v>
      </c>
      <c r="B20" s="9" t="s">
        <v>32</v>
      </c>
      <c r="C20" s="9" t="s">
        <v>38</v>
      </c>
      <c r="D20" s="9" t="s">
        <v>34</v>
      </c>
      <c r="E20" s="9" t="s">
        <v>17</v>
      </c>
      <c r="F20" s="394"/>
      <c r="G20" s="391">
        <v>1286</v>
      </c>
      <c r="H20" s="395"/>
      <c r="I20" s="408"/>
      <c r="J20" s="406">
        <f t="shared" si="0"/>
        <v>680247.43</v>
      </c>
      <c r="K20" s="345"/>
    </row>
    <row r="21" ht="18" customHeight="1" spans="1:11">
      <c r="A21" s="389">
        <v>15</v>
      </c>
      <c r="B21" s="9" t="s">
        <v>32</v>
      </c>
      <c r="C21" s="9" t="s">
        <v>39</v>
      </c>
      <c r="D21" s="9" t="s">
        <v>40</v>
      </c>
      <c r="E21" s="396" t="s">
        <v>41</v>
      </c>
      <c r="F21" s="394" t="s">
        <v>42</v>
      </c>
      <c r="G21" s="391"/>
      <c r="H21" s="395">
        <v>568</v>
      </c>
      <c r="I21" s="408"/>
      <c r="J21" s="406">
        <f t="shared" si="0"/>
        <v>680815.43</v>
      </c>
      <c r="K21" s="345"/>
    </row>
    <row r="22" ht="18" customHeight="1" spans="1:11">
      <c r="A22" s="389">
        <v>16</v>
      </c>
      <c r="B22" s="9" t="s">
        <v>32</v>
      </c>
      <c r="C22" s="9" t="s">
        <v>39</v>
      </c>
      <c r="D22" s="9" t="s">
        <v>40</v>
      </c>
      <c r="E22" s="396" t="s">
        <v>41</v>
      </c>
      <c r="F22" s="394" t="s">
        <v>42</v>
      </c>
      <c r="G22" s="391"/>
      <c r="H22" s="391">
        <v>568</v>
      </c>
      <c r="I22" s="407"/>
      <c r="J22" s="406">
        <f t="shared" si="0"/>
        <v>681383.43</v>
      </c>
      <c r="K22" s="345"/>
    </row>
    <row r="23" ht="18" customHeight="1" spans="1:11">
      <c r="A23" s="389">
        <v>17</v>
      </c>
      <c r="B23" s="9" t="s">
        <v>43</v>
      </c>
      <c r="C23" s="9" t="s">
        <v>44</v>
      </c>
      <c r="D23" s="7" t="s">
        <v>16</v>
      </c>
      <c r="E23" s="7" t="s">
        <v>17</v>
      </c>
      <c r="F23" s="7"/>
      <c r="G23" s="391">
        <v>1888</v>
      </c>
      <c r="H23" s="391"/>
      <c r="I23" s="407"/>
      <c r="J23" s="406">
        <f t="shared" si="0"/>
        <v>683271.43</v>
      </c>
      <c r="K23" s="345"/>
    </row>
    <row r="24" ht="18" customHeight="1" spans="1:11">
      <c r="A24" s="389">
        <v>18</v>
      </c>
      <c r="B24" s="9" t="s">
        <v>43</v>
      </c>
      <c r="C24" s="9" t="s">
        <v>45</v>
      </c>
      <c r="D24" s="7" t="s">
        <v>46</v>
      </c>
      <c r="E24" s="7" t="s">
        <v>17</v>
      </c>
      <c r="F24" s="7"/>
      <c r="G24" s="391">
        <v>1000</v>
      </c>
      <c r="H24" s="391"/>
      <c r="I24" s="407"/>
      <c r="J24" s="406">
        <f t="shared" si="0"/>
        <v>684271.43</v>
      </c>
      <c r="K24" s="345"/>
    </row>
    <row r="25" ht="18" customHeight="1" spans="1:11">
      <c r="A25" s="389">
        <v>19</v>
      </c>
      <c r="B25" s="9" t="s">
        <v>43</v>
      </c>
      <c r="C25" s="9" t="s">
        <v>47</v>
      </c>
      <c r="D25" s="7" t="s">
        <v>48</v>
      </c>
      <c r="E25" s="7" t="s">
        <v>17</v>
      </c>
      <c r="F25" s="7"/>
      <c r="G25" s="391">
        <v>10000</v>
      </c>
      <c r="H25" s="391"/>
      <c r="I25" s="407"/>
      <c r="J25" s="406">
        <f t="shared" si="0"/>
        <v>694271.43</v>
      </c>
      <c r="K25" s="345"/>
    </row>
    <row r="26" ht="18" customHeight="1" spans="1:11">
      <c r="A26" s="389">
        <v>20</v>
      </c>
      <c r="B26" s="9" t="s">
        <v>49</v>
      </c>
      <c r="C26" s="9" t="s">
        <v>50</v>
      </c>
      <c r="D26" s="7"/>
      <c r="E26" s="7" t="s">
        <v>17</v>
      </c>
      <c r="F26" s="7"/>
      <c r="G26" s="391">
        <v>100</v>
      </c>
      <c r="H26" s="391"/>
      <c r="I26" s="407"/>
      <c r="J26" s="406">
        <f t="shared" si="0"/>
        <v>694371.43</v>
      </c>
      <c r="K26" s="345"/>
    </row>
    <row r="27" ht="18" customHeight="1" spans="1:11">
      <c r="A27" s="389">
        <v>21</v>
      </c>
      <c r="B27" s="9" t="s">
        <v>49</v>
      </c>
      <c r="C27" s="9" t="s">
        <v>51</v>
      </c>
      <c r="D27" s="7" t="s">
        <v>52</v>
      </c>
      <c r="E27" s="7" t="s">
        <v>17</v>
      </c>
      <c r="F27" s="7"/>
      <c r="G27" s="391">
        <v>100</v>
      </c>
      <c r="H27" s="391"/>
      <c r="I27" s="407"/>
      <c r="J27" s="406">
        <f t="shared" si="0"/>
        <v>694471.43</v>
      </c>
      <c r="K27" s="345"/>
    </row>
    <row r="28" ht="18" customHeight="1" spans="1:11">
      <c r="A28" s="389">
        <v>22</v>
      </c>
      <c r="B28" s="9" t="s">
        <v>49</v>
      </c>
      <c r="C28" s="9" t="s">
        <v>53</v>
      </c>
      <c r="D28" s="7" t="s">
        <v>52</v>
      </c>
      <c r="E28" s="7" t="s">
        <v>17</v>
      </c>
      <c r="F28" s="7"/>
      <c r="G28" s="391">
        <v>100</v>
      </c>
      <c r="H28" s="391"/>
      <c r="I28" s="407"/>
      <c r="J28" s="406">
        <f t="shared" si="0"/>
        <v>694571.43</v>
      </c>
      <c r="K28" s="345"/>
    </row>
    <row r="29" ht="18" customHeight="1" spans="1:11">
      <c r="A29" s="389">
        <v>23</v>
      </c>
      <c r="B29" s="9" t="s">
        <v>54</v>
      </c>
      <c r="C29" s="9" t="s">
        <v>55</v>
      </c>
      <c r="D29" s="7"/>
      <c r="E29" s="7" t="s">
        <v>17</v>
      </c>
      <c r="F29" s="7"/>
      <c r="G29" s="391">
        <v>380</v>
      </c>
      <c r="H29" s="391"/>
      <c r="I29" s="407"/>
      <c r="J29" s="406">
        <f t="shared" si="0"/>
        <v>694951.43</v>
      </c>
      <c r="K29" s="345"/>
    </row>
    <row r="30" ht="18" customHeight="1" spans="1:11">
      <c r="A30" s="389">
        <v>24</v>
      </c>
      <c r="B30" s="9" t="s">
        <v>54</v>
      </c>
      <c r="C30" s="9" t="s">
        <v>56</v>
      </c>
      <c r="D30" s="9"/>
      <c r="E30" s="7" t="s">
        <v>17</v>
      </c>
      <c r="F30" s="9"/>
      <c r="G30" s="391">
        <v>288</v>
      </c>
      <c r="H30" s="391"/>
      <c r="I30" s="407"/>
      <c r="J30" s="406">
        <f t="shared" si="0"/>
        <v>695239.43</v>
      </c>
      <c r="K30" s="345"/>
    </row>
    <row r="31" ht="18" customHeight="1" spans="1:11">
      <c r="A31" s="389">
        <v>25</v>
      </c>
      <c r="B31" s="9" t="s">
        <v>54</v>
      </c>
      <c r="C31" s="9" t="s">
        <v>57</v>
      </c>
      <c r="D31" s="9" t="s">
        <v>58</v>
      </c>
      <c r="E31" s="7" t="s">
        <v>17</v>
      </c>
      <c r="F31" s="9"/>
      <c r="G31" s="391">
        <v>1000</v>
      </c>
      <c r="H31" s="391"/>
      <c r="I31" s="407"/>
      <c r="J31" s="406">
        <f t="shared" si="0"/>
        <v>696239.43</v>
      </c>
      <c r="K31" s="345"/>
    </row>
    <row r="32" ht="18" customHeight="1" spans="1:11">
      <c r="A32" s="389">
        <v>26</v>
      </c>
      <c r="B32" s="9" t="s">
        <v>54</v>
      </c>
      <c r="C32" s="9" t="s">
        <v>59</v>
      </c>
      <c r="D32" s="9" t="s">
        <v>60</v>
      </c>
      <c r="E32" s="7" t="s">
        <v>17</v>
      </c>
      <c r="F32" s="9"/>
      <c r="G32" s="391">
        <v>500</v>
      </c>
      <c r="H32" s="391"/>
      <c r="I32" s="407"/>
      <c r="J32" s="406">
        <f t="shared" si="0"/>
        <v>696739.43</v>
      </c>
      <c r="K32" s="345"/>
    </row>
    <row r="33" ht="18" customHeight="1" spans="1:11">
      <c r="A33" s="389">
        <v>27</v>
      </c>
      <c r="B33" s="9" t="s">
        <v>61</v>
      </c>
      <c r="C33" s="9" t="s">
        <v>62</v>
      </c>
      <c r="D33" s="9"/>
      <c r="E33" s="7" t="s">
        <v>17</v>
      </c>
      <c r="F33" s="9"/>
      <c r="G33" s="391">
        <v>2000</v>
      </c>
      <c r="H33" s="391"/>
      <c r="I33" s="407"/>
      <c r="J33" s="406">
        <f t="shared" si="0"/>
        <v>698739.43</v>
      </c>
      <c r="K33" s="345"/>
    </row>
    <row r="34" ht="18" customHeight="1" spans="1:11">
      <c r="A34" s="389">
        <v>28</v>
      </c>
      <c r="B34" s="9" t="s">
        <v>61</v>
      </c>
      <c r="C34" s="9" t="s">
        <v>63</v>
      </c>
      <c r="D34" s="9"/>
      <c r="E34" s="7" t="s">
        <v>17</v>
      </c>
      <c r="F34" s="9"/>
      <c r="G34" s="391">
        <v>2000</v>
      </c>
      <c r="H34" s="391"/>
      <c r="I34" s="407"/>
      <c r="J34" s="406">
        <f t="shared" si="0"/>
        <v>700739.43</v>
      </c>
      <c r="K34" s="345"/>
    </row>
    <row r="35" ht="18" customHeight="1" spans="1:11">
      <c r="A35" s="389">
        <v>29</v>
      </c>
      <c r="B35" s="9" t="s">
        <v>61</v>
      </c>
      <c r="C35" s="9" t="s">
        <v>64</v>
      </c>
      <c r="D35" s="9" t="s">
        <v>52</v>
      </c>
      <c r="E35" s="7" t="s">
        <v>17</v>
      </c>
      <c r="F35" s="9"/>
      <c r="G35" s="391">
        <v>2000</v>
      </c>
      <c r="H35" s="391"/>
      <c r="I35" s="407"/>
      <c r="J35" s="406">
        <f t="shared" si="0"/>
        <v>702739.43</v>
      </c>
      <c r="K35" s="345"/>
    </row>
    <row r="36" ht="18" customHeight="1" spans="1:11">
      <c r="A36" s="389">
        <v>30</v>
      </c>
      <c r="B36" s="9" t="s">
        <v>61</v>
      </c>
      <c r="C36" s="9" t="s">
        <v>65</v>
      </c>
      <c r="D36" s="9" t="s">
        <v>24</v>
      </c>
      <c r="E36" s="7" t="s">
        <v>17</v>
      </c>
      <c r="F36" s="9"/>
      <c r="G36" s="391">
        <v>200</v>
      </c>
      <c r="H36" s="391"/>
      <c r="I36" s="407"/>
      <c r="J36" s="406">
        <f t="shared" si="0"/>
        <v>702939.43</v>
      </c>
      <c r="K36" s="345"/>
    </row>
    <row r="37" ht="18" customHeight="1" spans="1:11">
      <c r="A37" s="389">
        <v>31</v>
      </c>
      <c r="B37" s="9" t="s">
        <v>61</v>
      </c>
      <c r="C37" s="9" t="s">
        <v>66</v>
      </c>
      <c r="D37" s="9" t="s">
        <v>24</v>
      </c>
      <c r="E37" s="7" t="s">
        <v>17</v>
      </c>
      <c r="F37" s="9"/>
      <c r="G37" s="391">
        <v>200</v>
      </c>
      <c r="H37" s="391"/>
      <c r="I37" s="407"/>
      <c r="J37" s="406">
        <f t="shared" si="0"/>
        <v>703139.43</v>
      </c>
      <c r="K37" s="345"/>
    </row>
    <row r="38" ht="18" customHeight="1" spans="1:11">
      <c r="A38" s="389">
        <v>32</v>
      </c>
      <c r="B38" s="9" t="s">
        <v>61</v>
      </c>
      <c r="C38" s="9" t="s">
        <v>67</v>
      </c>
      <c r="D38" s="9" t="s">
        <v>30</v>
      </c>
      <c r="E38" s="7" t="s">
        <v>17</v>
      </c>
      <c r="F38" s="9"/>
      <c r="G38" s="391">
        <v>3888</v>
      </c>
      <c r="H38" s="391"/>
      <c r="I38" s="407"/>
      <c r="J38" s="406">
        <f t="shared" si="0"/>
        <v>707027.43</v>
      </c>
      <c r="K38" s="345"/>
    </row>
    <row r="39" ht="18" customHeight="1" spans="1:11">
      <c r="A39" s="389">
        <v>33</v>
      </c>
      <c r="B39" s="9" t="s">
        <v>61</v>
      </c>
      <c r="C39" s="9" t="s">
        <v>50</v>
      </c>
      <c r="D39" s="9"/>
      <c r="E39" s="7" t="s">
        <v>17</v>
      </c>
      <c r="F39" s="9"/>
      <c r="G39" s="391">
        <v>100</v>
      </c>
      <c r="H39" s="391"/>
      <c r="I39" s="407"/>
      <c r="J39" s="406">
        <f t="shared" si="0"/>
        <v>707127.43</v>
      </c>
      <c r="K39" s="345"/>
    </row>
    <row r="40" ht="18" customHeight="1" spans="1:11">
      <c r="A40" s="389">
        <v>34</v>
      </c>
      <c r="B40" s="9" t="s">
        <v>61</v>
      </c>
      <c r="C40" s="9" t="s">
        <v>68</v>
      </c>
      <c r="D40" s="9" t="s">
        <v>69</v>
      </c>
      <c r="E40" s="7" t="s">
        <v>17</v>
      </c>
      <c r="F40" s="9"/>
      <c r="G40" s="391">
        <v>500</v>
      </c>
      <c r="H40" s="391"/>
      <c r="I40" s="407"/>
      <c r="J40" s="406">
        <f t="shared" si="0"/>
        <v>707627.43</v>
      </c>
      <c r="K40" s="345"/>
    </row>
    <row r="41" ht="18" customHeight="1" spans="1:11">
      <c r="A41" s="389">
        <v>35</v>
      </c>
      <c r="B41" s="9" t="s">
        <v>61</v>
      </c>
      <c r="C41" s="9" t="s">
        <v>70</v>
      </c>
      <c r="D41" s="9" t="s">
        <v>71</v>
      </c>
      <c r="E41" s="7" t="s">
        <v>17</v>
      </c>
      <c r="F41" s="9"/>
      <c r="G41" s="391">
        <v>6800</v>
      </c>
      <c r="H41" s="391"/>
      <c r="I41" s="407"/>
      <c r="J41" s="406">
        <f t="shared" si="0"/>
        <v>714427.43</v>
      </c>
      <c r="K41" s="345"/>
    </row>
    <row r="42" ht="18" customHeight="1" spans="1:11">
      <c r="A42" s="389">
        <v>36</v>
      </c>
      <c r="B42" s="9" t="s">
        <v>61</v>
      </c>
      <c r="C42" s="9" t="s">
        <v>72</v>
      </c>
      <c r="D42" s="9" t="s">
        <v>24</v>
      </c>
      <c r="E42" s="7" t="s">
        <v>17</v>
      </c>
      <c r="F42" s="9"/>
      <c r="G42" s="391">
        <v>6800</v>
      </c>
      <c r="H42" s="391"/>
      <c r="I42" s="407"/>
      <c r="J42" s="406">
        <f t="shared" si="0"/>
        <v>721227.43</v>
      </c>
      <c r="K42" s="345"/>
    </row>
    <row r="43" ht="18" customHeight="1" spans="1:11">
      <c r="A43" s="389">
        <v>37</v>
      </c>
      <c r="B43" s="9" t="s">
        <v>73</v>
      </c>
      <c r="C43" s="9" t="s">
        <v>74</v>
      </c>
      <c r="D43" s="9" t="s">
        <v>75</v>
      </c>
      <c r="E43" s="7" t="s">
        <v>17</v>
      </c>
      <c r="F43" s="9"/>
      <c r="G43" s="391">
        <v>168</v>
      </c>
      <c r="H43" s="391"/>
      <c r="I43" s="407"/>
      <c r="J43" s="406">
        <f t="shared" si="0"/>
        <v>721395.43</v>
      </c>
      <c r="K43" s="345"/>
    </row>
    <row r="44" ht="18" customHeight="1" spans="1:11">
      <c r="A44" s="389">
        <v>38</v>
      </c>
      <c r="B44" s="9" t="s">
        <v>73</v>
      </c>
      <c r="C44" s="9" t="s">
        <v>76</v>
      </c>
      <c r="D44" s="9"/>
      <c r="E44" s="7" t="s">
        <v>17</v>
      </c>
      <c r="F44" s="9"/>
      <c r="G44" s="391">
        <v>268</v>
      </c>
      <c r="H44" s="391"/>
      <c r="I44" s="407"/>
      <c r="J44" s="406">
        <f t="shared" si="0"/>
        <v>721663.43</v>
      </c>
      <c r="K44" s="345"/>
    </row>
    <row r="45" ht="18" customHeight="1" spans="1:11">
      <c r="A45" s="389">
        <v>39</v>
      </c>
      <c r="B45" s="9" t="s">
        <v>73</v>
      </c>
      <c r="C45" s="9" t="s">
        <v>77</v>
      </c>
      <c r="D45" s="9" t="s">
        <v>26</v>
      </c>
      <c r="E45" s="7" t="s">
        <v>17</v>
      </c>
      <c r="F45" s="9"/>
      <c r="G45" s="391">
        <v>1000</v>
      </c>
      <c r="H45" s="391"/>
      <c r="I45" s="407"/>
      <c r="J45" s="406">
        <f t="shared" si="0"/>
        <v>722663.43</v>
      </c>
      <c r="K45" s="345"/>
    </row>
    <row r="46" ht="18" customHeight="1" spans="1:11">
      <c r="A46" s="389">
        <v>40</v>
      </c>
      <c r="B46" s="9" t="s">
        <v>73</v>
      </c>
      <c r="C46" s="9" t="s">
        <v>78</v>
      </c>
      <c r="D46" s="9" t="s">
        <v>79</v>
      </c>
      <c r="E46" s="7" t="s">
        <v>17</v>
      </c>
      <c r="F46" s="9"/>
      <c r="G46" s="391">
        <v>3800</v>
      </c>
      <c r="H46" s="391"/>
      <c r="I46" s="407"/>
      <c r="J46" s="406">
        <f t="shared" si="0"/>
        <v>726463.43</v>
      </c>
      <c r="K46" s="345"/>
    </row>
    <row r="47" ht="18" customHeight="1" spans="1:11">
      <c r="A47" s="389">
        <v>41</v>
      </c>
      <c r="B47" s="9" t="s">
        <v>73</v>
      </c>
      <c r="C47" s="9" t="s">
        <v>80</v>
      </c>
      <c r="D47" s="9" t="s">
        <v>81</v>
      </c>
      <c r="E47" s="7" t="s">
        <v>17</v>
      </c>
      <c r="F47" s="9"/>
      <c r="G47" s="391">
        <v>1680</v>
      </c>
      <c r="H47" s="391"/>
      <c r="I47" s="407"/>
      <c r="J47" s="406">
        <f t="shared" si="0"/>
        <v>728143.43</v>
      </c>
      <c r="K47" s="345"/>
    </row>
    <row r="48" ht="18" customHeight="1" spans="1:11">
      <c r="A48" s="389">
        <v>42</v>
      </c>
      <c r="B48" s="9" t="s">
        <v>73</v>
      </c>
      <c r="C48" s="9" t="s">
        <v>82</v>
      </c>
      <c r="D48" s="9" t="s">
        <v>46</v>
      </c>
      <c r="E48" s="7" t="s">
        <v>17</v>
      </c>
      <c r="F48" s="9"/>
      <c r="G48" s="391">
        <v>2000</v>
      </c>
      <c r="H48" s="391"/>
      <c r="I48" s="407"/>
      <c r="J48" s="406">
        <f t="shared" si="0"/>
        <v>730143.43</v>
      </c>
      <c r="K48" s="345"/>
    </row>
    <row r="49" ht="18" customHeight="1" spans="1:11">
      <c r="A49" s="389">
        <v>43</v>
      </c>
      <c r="B49" s="9" t="s">
        <v>73</v>
      </c>
      <c r="C49" s="9" t="s">
        <v>83</v>
      </c>
      <c r="D49" s="9" t="s">
        <v>34</v>
      </c>
      <c r="E49" s="7" t="s">
        <v>17</v>
      </c>
      <c r="F49" s="390"/>
      <c r="G49" s="391">
        <v>10000</v>
      </c>
      <c r="H49" s="391"/>
      <c r="I49" s="407"/>
      <c r="J49" s="406">
        <f t="shared" si="0"/>
        <v>740143.43</v>
      </c>
      <c r="K49" s="345"/>
    </row>
    <row r="50" ht="18" customHeight="1" spans="1:11">
      <c r="A50" s="389">
        <v>44</v>
      </c>
      <c r="B50" s="9" t="s">
        <v>73</v>
      </c>
      <c r="C50" s="9" t="s">
        <v>84</v>
      </c>
      <c r="D50" s="9" t="s">
        <v>21</v>
      </c>
      <c r="E50" s="7" t="s">
        <v>17</v>
      </c>
      <c r="F50" s="9"/>
      <c r="G50" s="391">
        <v>9999.99</v>
      </c>
      <c r="H50" s="391"/>
      <c r="I50" s="407"/>
      <c r="J50" s="406">
        <f t="shared" si="0"/>
        <v>750143.42</v>
      </c>
      <c r="K50" s="345"/>
    </row>
    <row r="51" ht="18" customHeight="1" spans="1:11">
      <c r="A51" s="389">
        <v>45</v>
      </c>
      <c r="B51" s="9" t="s">
        <v>73</v>
      </c>
      <c r="C51" s="9" t="s">
        <v>85</v>
      </c>
      <c r="D51" s="9" t="s">
        <v>86</v>
      </c>
      <c r="E51" s="7" t="s">
        <v>17</v>
      </c>
      <c r="F51" s="9"/>
      <c r="G51" s="391">
        <v>8888.88</v>
      </c>
      <c r="H51" s="391"/>
      <c r="I51" s="407"/>
      <c r="J51" s="406">
        <f t="shared" si="0"/>
        <v>759032.3</v>
      </c>
      <c r="K51" s="345"/>
    </row>
    <row r="52" ht="18" customHeight="1" spans="1:11">
      <c r="A52" s="389">
        <v>46</v>
      </c>
      <c r="B52" s="9" t="s">
        <v>73</v>
      </c>
      <c r="C52" s="9" t="s">
        <v>87</v>
      </c>
      <c r="D52" s="9" t="s">
        <v>37</v>
      </c>
      <c r="E52" s="7" t="s">
        <v>17</v>
      </c>
      <c r="F52" s="9"/>
      <c r="G52" s="391">
        <f>388+333</f>
        <v>721</v>
      </c>
      <c r="H52" s="391"/>
      <c r="I52" s="407"/>
      <c r="J52" s="406">
        <f t="shared" si="0"/>
        <v>759753.3</v>
      </c>
      <c r="K52" s="345"/>
    </row>
    <row r="53" ht="18" customHeight="1" spans="1:11">
      <c r="A53" s="389">
        <v>47</v>
      </c>
      <c r="B53" s="9" t="s">
        <v>73</v>
      </c>
      <c r="C53" s="9" t="s">
        <v>88</v>
      </c>
      <c r="D53" s="9" t="s">
        <v>71</v>
      </c>
      <c r="E53" s="7" t="s">
        <v>17</v>
      </c>
      <c r="F53" s="9"/>
      <c r="G53" s="391">
        <v>200</v>
      </c>
      <c r="H53" s="391"/>
      <c r="I53" s="407"/>
      <c r="J53" s="406">
        <f t="shared" si="0"/>
        <v>759953.3</v>
      </c>
      <c r="K53" s="345"/>
    </row>
    <row r="54" ht="18" customHeight="1" spans="1:11">
      <c r="A54" s="389">
        <v>48</v>
      </c>
      <c r="B54" s="9" t="s">
        <v>73</v>
      </c>
      <c r="C54" s="9" t="s">
        <v>89</v>
      </c>
      <c r="D54" s="9" t="s">
        <v>69</v>
      </c>
      <c r="E54" s="7" t="s">
        <v>17</v>
      </c>
      <c r="F54" s="9"/>
      <c r="G54" s="391">
        <v>1333.15</v>
      </c>
      <c r="H54" s="391"/>
      <c r="I54" s="407"/>
      <c r="J54" s="406">
        <f t="shared" si="0"/>
        <v>761286.45</v>
      </c>
      <c r="K54" s="345"/>
    </row>
    <row r="55" ht="18" customHeight="1" spans="1:11">
      <c r="A55" s="389">
        <v>49</v>
      </c>
      <c r="B55" s="9" t="s">
        <v>73</v>
      </c>
      <c r="C55" s="9" t="s">
        <v>90</v>
      </c>
      <c r="D55" s="9" t="s">
        <v>21</v>
      </c>
      <c r="E55" s="7" t="s">
        <v>17</v>
      </c>
      <c r="F55" s="9"/>
      <c r="G55" s="391">
        <v>2000</v>
      </c>
      <c r="H55" s="391"/>
      <c r="I55" s="407"/>
      <c r="J55" s="406">
        <f t="shared" si="0"/>
        <v>763286.45</v>
      </c>
      <c r="K55" s="345"/>
    </row>
    <row r="56" ht="18" customHeight="1" spans="1:11">
      <c r="A56" s="389">
        <v>50</v>
      </c>
      <c r="B56" s="9" t="s">
        <v>91</v>
      </c>
      <c r="C56" s="9" t="s">
        <v>92</v>
      </c>
      <c r="D56" s="9" t="s">
        <v>93</v>
      </c>
      <c r="E56" s="7" t="s">
        <v>17</v>
      </c>
      <c r="F56" s="9"/>
      <c r="G56" s="391">
        <v>168</v>
      </c>
      <c r="H56" s="391"/>
      <c r="I56" s="407"/>
      <c r="J56" s="406">
        <f t="shared" si="0"/>
        <v>763454.45</v>
      </c>
      <c r="K56" s="345"/>
    </row>
    <row r="57" ht="18" customHeight="1" spans="1:11">
      <c r="A57" s="389">
        <v>51</v>
      </c>
      <c r="B57" s="9" t="s">
        <v>91</v>
      </c>
      <c r="C57" s="9" t="s">
        <v>94</v>
      </c>
      <c r="D57" s="9"/>
      <c r="E57" s="7" t="s">
        <v>17</v>
      </c>
      <c r="F57" s="9"/>
      <c r="G57" s="391">
        <v>300</v>
      </c>
      <c r="H57" s="391"/>
      <c r="I57" s="407"/>
      <c r="J57" s="406">
        <f t="shared" si="0"/>
        <v>763754.45</v>
      </c>
      <c r="K57" s="345"/>
    </row>
    <row r="58" ht="18" customHeight="1" spans="1:11">
      <c r="A58" s="389">
        <v>52</v>
      </c>
      <c r="B58" s="9" t="s">
        <v>91</v>
      </c>
      <c r="C58" s="9" t="s">
        <v>95</v>
      </c>
      <c r="D58" s="9" t="s">
        <v>40</v>
      </c>
      <c r="E58" s="396" t="s">
        <v>96</v>
      </c>
      <c r="F58" s="9" t="s">
        <v>97</v>
      </c>
      <c r="G58" s="391"/>
      <c r="H58" s="391">
        <v>123</v>
      </c>
      <c r="I58" s="407"/>
      <c r="J58" s="406">
        <f t="shared" si="0"/>
        <v>763877.45</v>
      </c>
      <c r="K58" s="345"/>
    </row>
    <row r="59" ht="18" customHeight="1" spans="1:11">
      <c r="A59" s="389">
        <v>53</v>
      </c>
      <c r="B59" s="9" t="s">
        <v>91</v>
      </c>
      <c r="C59" s="9" t="s">
        <v>98</v>
      </c>
      <c r="D59" s="9" t="s">
        <v>37</v>
      </c>
      <c r="E59" s="396" t="s">
        <v>99</v>
      </c>
      <c r="F59" s="9" t="s">
        <v>100</v>
      </c>
      <c r="G59" s="391"/>
      <c r="H59" s="391">
        <v>100</v>
      </c>
      <c r="I59" s="407"/>
      <c r="J59" s="406">
        <f t="shared" si="0"/>
        <v>763977.45</v>
      </c>
      <c r="K59" s="345"/>
    </row>
    <row r="60" ht="18" customHeight="1" spans="1:11">
      <c r="A60" s="389">
        <v>54</v>
      </c>
      <c r="B60" s="9" t="s">
        <v>91</v>
      </c>
      <c r="C60" s="9" t="s">
        <v>101</v>
      </c>
      <c r="D60" s="9" t="s">
        <v>102</v>
      </c>
      <c r="E60" s="396" t="s">
        <v>103</v>
      </c>
      <c r="F60" s="9" t="s">
        <v>104</v>
      </c>
      <c r="G60" s="391"/>
      <c r="H60" s="391">
        <v>100</v>
      </c>
      <c r="I60" s="407"/>
      <c r="J60" s="406">
        <f t="shared" si="0"/>
        <v>764077.45</v>
      </c>
      <c r="K60" s="345"/>
    </row>
    <row r="61" ht="18" customHeight="1" spans="1:11">
      <c r="A61" s="389">
        <v>55</v>
      </c>
      <c r="B61" s="9" t="s">
        <v>105</v>
      </c>
      <c r="C61" s="9" t="s">
        <v>106</v>
      </c>
      <c r="D61" s="9" t="s">
        <v>107</v>
      </c>
      <c r="E61" s="396" t="s">
        <v>17</v>
      </c>
      <c r="F61" s="9"/>
      <c r="G61" s="391">
        <v>188</v>
      </c>
      <c r="H61" s="391"/>
      <c r="I61" s="407"/>
      <c r="J61" s="406">
        <f t="shared" si="0"/>
        <v>764265.45</v>
      </c>
      <c r="K61" s="345"/>
    </row>
    <row r="62" ht="18" customHeight="1" spans="1:11">
      <c r="A62" s="389">
        <v>56</v>
      </c>
      <c r="B62" s="9" t="s">
        <v>105</v>
      </c>
      <c r="C62" s="9"/>
      <c r="D62" s="397" t="s">
        <v>108</v>
      </c>
      <c r="E62" s="398"/>
      <c r="F62" s="399"/>
      <c r="G62" s="391"/>
      <c r="H62" s="391"/>
      <c r="I62" s="407">
        <v>3720</v>
      </c>
      <c r="J62" s="406">
        <f t="shared" si="0"/>
        <v>760545.45</v>
      </c>
      <c r="K62" s="345"/>
    </row>
    <row r="63" ht="18" customHeight="1" spans="1:11">
      <c r="A63" s="389">
        <v>57</v>
      </c>
      <c r="B63" s="9" t="s">
        <v>109</v>
      </c>
      <c r="C63" s="9"/>
      <c r="D63" s="397" t="s">
        <v>110</v>
      </c>
      <c r="E63" s="398"/>
      <c r="F63" s="399"/>
      <c r="G63" s="391"/>
      <c r="H63" s="391"/>
      <c r="I63" s="407">
        <v>232</v>
      </c>
      <c r="J63" s="406">
        <f t="shared" si="0"/>
        <v>760313.45</v>
      </c>
      <c r="K63" s="345"/>
    </row>
    <row r="64" ht="18" customHeight="1" spans="1:11">
      <c r="A64" s="389">
        <v>58</v>
      </c>
      <c r="B64" s="9" t="s">
        <v>109</v>
      </c>
      <c r="C64" s="9"/>
      <c r="D64" s="397" t="s">
        <v>111</v>
      </c>
      <c r="E64" s="398"/>
      <c r="F64" s="399"/>
      <c r="G64" s="391"/>
      <c r="H64" s="391"/>
      <c r="I64" s="407">
        <v>3</v>
      </c>
      <c r="J64" s="406">
        <f t="shared" si="0"/>
        <v>760310.45</v>
      </c>
      <c r="K64" s="345"/>
    </row>
    <row r="65" ht="18" customHeight="1" spans="1:11">
      <c r="A65" s="389">
        <v>59</v>
      </c>
      <c r="B65" s="9" t="s">
        <v>109</v>
      </c>
      <c r="C65" s="9" t="s">
        <v>112</v>
      </c>
      <c r="D65" s="9" t="s">
        <v>71</v>
      </c>
      <c r="E65" s="396" t="s">
        <v>17</v>
      </c>
      <c r="F65" s="9"/>
      <c r="G65" s="391">
        <v>532</v>
      </c>
      <c r="H65" s="391"/>
      <c r="I65" s="407"/>
      <c r="J65" s="406">
        <f t="shared" si="0"/>
        <v>760842.45</v>
      </c>
      <c r="K65" s="345"/>
    </row>
    <row r="66" ht="18" customHeight="1" spans="1:11">
      <c r="A66" s="389">
        <v>60</v>
      </c>
      <c r="B66" s="9" t="s">
        <v>109</v>
      </c>
      <c r="C66" s="9" t="s">
        <v>113</v>
      </c>
      <c r="D66" s="9" t="s">
        <v>40</v>
      </c>
      <c r="E66" s="396" t="s">
        <v>17</v>
      </c>
      <c r="F66" s="9"/>
      <c r="G66" s="391">
        <v>3000</v>
      </c>
      <c r="H66" s="391"/>
      <c r="I66" s="407"/>
      <c r="J66" s="406">
        <f t="shared" si="0"/>
        <v>763842.45</v>
      </c>
      <c r="K66" s="345"/>
    </row>
    <row r="67" ht="18" customHeight="1" spans="1:11">
      <c r="A67" s="389">
        <v>61</v>
      </c>
      <c r="B67" s="9" t="s">
        <v>109</v>
      </c>
      <c r="C67" s="9" t="s">
        <v>114</v>
      </c>
      <c r="D67" s="9"/>
      <c r="E67" s="396" t="s">
        <v>17</v>
      </c>
      <c r="F67" s="9"/>
      <c r="G67" s="391">
        <v>300</v>
      </c>
      <c r="H67" s="391"/>
      <c r="I67" s="407"/>
      <c r="J67" s="406">
        <f t="shared" si="0"/>
        <v>764142.45</v>
      </c>
      <c r="K67" s="345"/>
    </row>
    <row r="68" ht="18" customHeight="1" spans="1:11">
      <c r="A68" s="389">
        <v>62</v>
      </c>
      <c r="B68" s="9" t="s">
        <v>115</v>
      </c>
      <c r="C68" s="9" t="s">
        <v>116</v>
      </c>
      <c r="D68" s="9" t="s">
        <v>40</v>
      </c>
      <c r="E68" s="396" t="s">
        <v>17</v>
      </c>
      <c r="F68" s="9"/>
      <c r="G68" s="391">
        <v>16800</v>
      </c>
      <c r="H68" s="391"/>
      <c r="I68" s="407"/>
      <c r="J68" s="406">
        <f t="shared" si="0"/>
        <v>780942.45</v>
      </c>
      <c r="K68" s="345"/>
    </row>
    <row r="69" ht="18" customHeight="1" spans="1:11">
      <c r="A69" s="389">
        <v>63</v>
      </c>
      <c r="B69" s="9" t="s">
        <v>115</v>
      </c>
      <c r="C69" s="9"/>
      <c r="D69" s="397" t="s">
        <v>117</v>
      </c>
      <c r="E69" s="398"/>
      <c r="F69" s="399"/>
      <c r="G69" s="391"/>
      <c r="H69" s="391"/>
      <c r="I69" s="407">
        <v>10</v>
      </c>
      <c r="J69" s="406">
        <f t="shared" si="0"/>
        <v>780932.45</v>
      </c>
      <c r="K69" s="345"/>
    </row>
    <row r="70" ht="18" customHeight="1" spans="1:11">
      <c r="A70" s="389">
        <v>64</v>
      </c>
      <c r="B70" s="9" t="s">
        <v>118</v>
      </c>
      <c r="C70" s="9" t="s">
        <v>119</v>
      </c>
      <c r="D70" s="9" t="s">
        <v>120</v>
      </c>
      <c r="E70" s="396" t="s">
        <v>17</v>
      </c>
      <c r="F70" s="9"/>
      <c r="G70" s="391">
        <v>1000</v>
      </c>
      <c r="H70" s="391"/>
      <c r="I70" s="407"/>
      <c r="J70" s="406">
        <f t="shared" si="0"/>
        <v>781932.45</v>
      </c>
      <c r="K70" s="345"/>
    </row>
    <row r="71" ht="18" customHeight="1" spans="1:11">
      <c r="A71" s="389">
        <v>65</v>
      </c>
      <c r="B71" s="9" t="s">
        <v>121</v>
      </c>
      <c r="C71" s="9" t="s">
        <v>122</v>
      </c>
      <c r="D71" s="9" t="s">
        <v>93</v>
      </c>
      <c r="E71" s="396" t="s">
        <v>17</v>
      </c>
      <c r="F71" s="9"/>
      <c r="G71" s="391">
        <v>2666.88</v>
      </c>
      <c r="H71" s="391"/>
      <c r="I71" s="407"/>
      <c r="J71" s="406">
        <f t="shared" si="0"/>
        <v>784599.33</v>
      </c>
      <c r="K71" s="345"/>
    </row>
    <row r="72" ht="18" customHeight="1" spans="1:11">
      <c r="A72" s="389">
        <v>66</v>
      </c>
      <c r="B72" s="9" t="s">
        <v>121</v>
      </c>
      <c r="C72" s="9" t="s">
        <v>123</v>
      </c>
      <c r="D72" s="9"/>
      <c r="E72" s="396" t="s">
        <v>17</v>
      </c>
      <c r="F72" s="9"/>
      <c r="G72" s="391">
        <v>200</v>
      </c>
      <c r="H72" s="391"/>
      <c r="I72" s="407"/>
      <c r="J72" s="406">
        <f t="shared" ref="J72:J135" si="1">J71+G72+H72-I72</f>
        <v>784799.33</v>
      </c>
      <c r="K72" s="345"/>
    </row>
    <row r="73" ht="18" customHeight="1" spans="1:11">
      <c r="A73" s="389">
        <v>67</v>
      </c>
      <c r="B73" s="9" t="s">
        <v>121</v>
      </c>
      <c r="C73" s="9" t="s">
        <v>124</v>
      </c>
      <c r="D73" s="9" t="s">
        <v>71</v>
      </c>
      <c r="E73" s="396" t="s">
        <v>17</v>
      </c>
      <c r="F73" s="9"/>
      <c r="G73" s="391">
        <v>1000</v>
      </c>
      <c r="H73" s="391"/>
      <c r="I73" s="407"/>
      <c r="J73" s="406">
        <f t="shared" si="1"/>
        <v>785799.33</v>
      </c>
      <c r="K73" s="345"/>
    </row>
    <row r="74" ht="18" customHeight="1" spans="1:11">
      <c r="A74" s="389">
        <v>68</v>
      </c>
      <c r="B74" s="9" t="s">
        <v>121</v>
      </c>
      <c r="C74" s="9" t="s">
        <v>125</v>
      </c>
      <c r="D74" s="9" t="s">
        <v>16</v>
      </c>
      <c r="E74" s="396" t="s">
        <v>17</v>
      </c>
      <c r="F74" s="9"/>
      <c r="G74" s="391">
        <v>1000</v>
      </c>
      <c r="H74" s="391"/>
      <c r="I74" s="407"/>
      <c r="J74" s="406">
        <f t="shared" si="1"/>
        <v>786799.33</v>
      </c>
      <c r="K74" s="345"/>
    </row>
    <row r="75" ht="18" customHeight="1" spans="1:11">
      <c r="A75" s="389">
        <v>69</v>
      </c>
      <c r="B75" s="9" t="s">
        <v>121</v>
      </c>
      <c r="C75" s="9" t="s">
        <v>126</v>
      </c>
      <c r="D75" s="9" t="s">
        <v>93</v>
      </c>
      <c r="E75" s="396" t="s">
        <v>17</v>
      </c>
      <c r="F75" s="9"/>
      <c r="G75" s="391">
        <v>666</v>
      </c>
      <c r="H75" s="391"/>
      <c r="I75" s="407"/>
      <c r="J75" s="406">
        <f t="shared" si="1"/>
        <v>787465.33</v>
      </c>
      <c r="K75" s="345"/>
    </row>
    <row r="76" ht="18" customHeight="1" spans="1:11">
      <c r="A76" s="389">
        <v>70</v>
      </c>
      <c r="B76" s="9" t="s">
        <v>121</v>
      </c>
      <c r="C76" s="9" t="s">
        <v>127</v>
      </c>
      <c r="D76" s="9"/>
      <c r="E76" s="396" t="s">
        <v>17</v>
      </c>
      <c r="F76" s="9"/>
      <c r="G76" s="391">
        <v>388</v>
      </c>
      <c r="H76" s="391"/>
      <c r="I76" s="407"/>
      <c r="J76" s="406">
        <f t="shared" si="1"/>
        <v>787853.33</v>
      </c>
      <c r="K76" s="345"/>
    </row>
    <row r="77" ht="18" customHeight="1" spans="1:11">
      <c r="A77" s="389">
        <v>71</v>
      </c>
      <c r="B77" s="9" t="s">
        <v>121</v>
      </c>
      <c r="C77" s="9"/>
      <c r="D77" s="397" t="s">
        <v>128</v>
      </c>
      <c r="E77" s="398"/>
      <c r="F77" s="399"/>
      <c r="G77" s="391"/>
      <c r="H77" s="391"/>
      <c r="I77" s="407">
        <v>86</v>
      </c>
      <c r="J77" s="406">
        <f t="shared" si="1"/>
        <v>787767.33</v>
      </c>
      <c r="K77" s="345"/>
    </row>
    <row r="78" ht="18" customHeight="1" spans="1:11">
      <c r="A78" s="389">
        <v>72</v>
      </c>
      <c r="B78" s="9" t="s">
        <v>121</v>
      </c>
      <c r="C78" s="9" t="s">
        <v>129</v>
      </c>
      <c r="D78" s="9" t="s">
        <v>130</v>
      </c>
      <c r="E78" s="396" t="s">
        <v>17</v>
      </c>
      <c r="F78" s="9"/>
      <c r="G78" s="391">
        <v>200</v>
      </c>
      <c r="H78" s="391"/>
      <c r="I78" s="407"/>
      <c r="J78" s="406">
        <f t="shared" si="1"/>
        <v>787967.33</v>
      </c>
      <c r="K78" s="345"/>
    </row>
    <row r="79" ht="18" customHeight="1" spans="1:11">
      <c r="A79" s="389">
        <v>73</v>
      </c>
      <c r="B79" s="9" t="s">
        <v>121</v>
      </c>
      <c r="C79" s="9" t="s">
        <v>131</v>
      </c>
      <c r="D79" s="9" t="s">
        <v>40</v>
      </c>
      <c r="E79" s="396" t="s">
        <v>17</v>
      </c>
      <c r="F79" s="9"/>
      <c r="G79" s="391">
        <v>500</v>
      </c>
      <c r="H79" s="391"/>
      <c r="I79" s="407"/>
      <c r="J79" s="406">
        <f t="shared" si="1"/>
        <v>788467.33</v>
      </c>
      <c r="K79" s="345"/>
    </row>
    <row r="80" ht="18" customHeight="1" spans="1:11">
      <c r="A80" s="389">
        <v>74</v>
      </c>
      <c r="B80" s="9" t="s">
        <v>121</v>
      </c>
      <c r="C80" s="9" t="s">
        <v>64</v>
      </c>
      <c r="D80" s="9" t="s">
        <v>52</v>
      </c>
      <c r="E80" s="396" t="s">
        <v>132</v>
      </c>
      <c r="F80" s="9" t="s">
        <v>100</v>
      </c>
      <c r="G80" s="391"/>
      <c r="H80" s="391">
        <v>999</v>
      </c>
      <c r="I80" s="407"/>
      <c r="J80" s="406">
        <f t="shared" si="1"/>
        <v>789466.33</v>
      </c>
      <c r="K80" s="345"/>
    </row>
    <row r="81" ht="18" customHeight="1" spans="1:11">
      <c r="A81" s="389">
        <v>75</v>
      </c>
      <c r="B81" s="9" t="s">
        <v>121</v>
      </c>
      <c r="C81" s="9" t="s">
        <v>133</v>
      </c>
      <c r="D81" s="9" t="s">
        <v>16</v>
      </c>
      <c r="E81" s="396" t="s">
        <v>134</v>
      </c>
      <c r="F81" s="9" t="s">
        <v>135</v>
      </c>
      <c r="G81" s="391"/>
      <c r="H81" s="391">
        <v>99</v>
      </c>
      <c r="I81" s="407"/>
      <c r="J81" s="406">
        <f t="shared" si="1"/>
        <v>789565.33</v>
      </c>
      <c r="K81" s="345"/>
    </row>
    <row r="82" ht="18" customHeight="1" spans="1:11">
      <c r="A82" s="389">
        <v>76</v>
      </c>
      <c r="B82" s="9" t="s">
        <v>136</v>
      </c>
      <c r="C82" s="9" t="s">
        <v>50</v>
      </c>
      <c r="D82" s="9" t="s">
        <v>137</v>
      </c>
      <c r="E82" s="396" t="s">
        <v>17</v>
      </c>
      <c r="F82" s="9"/>
      <c r="G82" s="391">
        <v>388</v>
      </c>
      <c r="H82" s="391"/>
      <c r="I82" s="407"/>
      <c r="J82" s="406">
        <f t="shared" si="1"/>
        <v>789953.33</v>
      </c>
      <c r="K82" s="345"/>
    </row>
    <row r="83" ht="18" customHeight="1" spans="1:11">
      <c r="A83" s="389">
        <v>77</v>
      </c>
      <c r="B83" s="9" t="s">
        <v>136</v>
      </c>
      <c r="C83" s="9" t="s">
        <v>138</v>
      </c>
      <c r="D83" s="9" t="s">
        <v>40</v>
      </c>
      <c r="E83" s="396" t="s">
        <v>17</v>
      </c>
      <c r="F83" s="9"/>
      <c r="G83" s="391">
        <v>1000</v>
      </c>
      <c r="H83" s="391"/>
      <c r="I83" s="407"/>
      <c r="J83" s="406">
        <f t="shared" si="1"/>
        <v>790953.33</v>
      </c>
      <c r="K83" s="345"/>
    </row>
    <row r="84" ht="18" customHeight="1" spans="1:11">
      <c r="A84" s="389">
        <v>78</v>
      </c>
      <c r="B84" s="9" t="s">
        <v>136</v>
      </c>
      <c r="C84" s="9" t="s">
        <v>139</v>
      </c>
      <c r="D84" s="9"/>
      <c r="E84" s="396" t="s">
        <v>17</v>
      </c>
      <c r="F84" s="9"/>
      <c r="G84" s="391">
        <v>100</v>
      </c>
      <c r="H84" s="391"/>
      <c r="I84" s="407"/>
      <c r="J84" s="406">
        <f t="shared" si="1"/>
        <v>791053.33</v>
      </c>
      <c r="K84" s="345"/>
    </row>
    <row r="85" ht="18" customHeight="1" spans="1:11">
      <c r="A85" s="389">
        <v>79</v>
      </c>
      <c r="B85" s="9" t="s">
        <v>136</v>
      </c>
      <c r="C85" s="9" t="s">
        <v>140</v>
      </c>
      <c r="D85" s="9"/>
      <c r="E85" s="396" t="s">
        <v>17</v>
      </c>
      <c r="F85" s="9"/>
      <c r="G85" s="391">
        <v>100</v>
      </c>
      <c r="H85" s="391"/>
      <c r="I85" s="407"/>
      <c r="J85" s="406">
        <f t="shared" si="1"/>
        <v>791153.33</v>
      </c>
      <c r="K85" s="345"/>
    </row>
    <row r="86" ht="18" customHeight="1" spans="1:11">
      <c r="A86" s="389">
        <v>80</v>
      </c>
      <c r="B86" s="9" t="s">
        <v>136</v>
      </c>
      <c r="C86" s="9" t="s">
        <v>141</v>
      </c>
      <c r="D86" s="9" t="s">
        <v>142</v>
      </c>
      <c r="E86" s="396" t="s">
        <v>17</v>
      </c>
      <c r="F86" s="9"/>
      <c r="G86" s="391">
        <v>800</v>
      </c>
      <c r="H86" s="391"/>
      <c r="I86" s="407"/>
      <c r="J86" s="406">
        <f t="shared" si="1"/>
        <v>791953.33</v>
      </c>
      <c r="K86" s="345"/>
    </row>
    <row r="87" ht="18" customHeight="1" spans="1:11">
      <c r="A87" s="389">
        <v>81</v>
      </c>
      <c r="B87" s="9" t="s">
        <v>136</v>
      </c>
      <c r="C87" s="9" t="s">
        <v>143</v>
      </c>
      <c r="D87" s="9" t="s">
        <v>144</v>
      </c>
      <c r="E87" s="396" t="s">
        <v>17</v>
      </c>
      <c r="F87" s="9"/>
      <c r="G87" s="391">
        <v>2020</v>
      </c>
      <c r="H87" s="391"/>
      <c r="I87" s="407"/>
      <c r="J87" s="406">
        <f t="shared" si="1"/>
        <v>793973.33</v>
      </c>
      <c r="K87" s="345"/>
    </row>
    <row r="88" ht="18" customHeight="1" spans="1:11">
      <c r="A88" s="389">
        <v>82</v>
      </c>
      <c r="B88" s="9" t="s">
        <v>136</v>
      </c>
      <c r="C88" s="9" t="s">
        <v>95</v>
      </c>
      <c r="D88" s="9" t="s">
        <v>40</v>
      </c>
      <c r="E88" s="396" t="s">
        <v>17</v>
      </c>
      <c r="F88" s="9"/>
      <c r="G88" s="391">
        <v>3000</v>
      </c>
      <c r="H88" s="391"/>
      <c r="I88" s="407"/>
      <c r="J88" s="406">
        <f t="shared" si="1"/>
        <v>796973.33</v>
      </c>
      <c r="K88" s="345"/>
    </row>
    <row r="89" ht="18" customHeight="1" spans="1:11">
      <c r="A89" s="389">
        <v>83</v>
      </c>
      <c r="B89" s="9" t="s">
        <v>145</v>
      </c>
      <c r="C89" s="9" t="s">
        <v>50</v>
      </c>
      <c r="D89" s="9"/>
      <c r="E89" s="396" t="s">
        <v>17</v>
      </c>
      <c r="F89" s="9"/>
      <c r="G89" s="391">
        <v>200</v>
      </c>
      <c r="H89" s="391"/>
      <c r="I89" s="407"/>
      <c r="J89" s="406">
        <f t="shared" si="1"/>
        <v>797173.33</v>
      </c>
      <c r="K89" s="345"/>
    </row>
    <row r="90" ht="18" customHeight="1" spans="1:11">
      <c r="A90" s="389">
        <v>84</v>
      </c>
      <c r="B90" s="9" t="s">
        <v>145</v>
      </c>
      <c r="C90" s="9" t="s">
        <v>146</v>
      </c>
      <c r="D90" s="9" t="s">
        <v>24</v>
      </c>
      <c r="E90" s="396" t="s">
        <v>17</v>
      </c>
      <c r="F90" s="9"/>
      <c r="G90" s="391">
        <v>1000</v>
      </c>
      <c r="H90" s="391"/>
      <c r="I90" s="407"/>
      <c r="J90" s="406">
        <f t="shared" si="1"/>
        <v>798173.33</v>
      </c>
      <c r="K90" s="345"/>
    </row>
    <row r="91" ht="18" customHeight="1" spans="1:11">
      <c r="A91" s="389">
        <v>85</v>
      </c>
      <c r="B91" s="9" t="s">
        <v>145</v>
      </c>
      <c r="C91" s="9" t="s">
        <v>147</v>
      </c>
      <c r="D91" s="9" t="s">
        <v>40</v>
      </c>
      <c r="E91" s="396" t="s">
        <v>17</v>
      </c>
      <c r="F91" s="9"/>
      <c r="G91" s="391">
        <v>200</v>
      </c>
      <c r="H91" s="391"/>
      <c r="I91" s="407"/>
      <c r="J91" s="406">
        <f t="shared" si="1"/>
        <v>798373.33</v>
      </c>
      <c r="K91" s="345"/>
    </row>
    <row r="92" ht="40.5" customHeight="1" spans="1:11">
      <c r="A92" s="389">
        <v>86</v>
      </c>
      <c r="B92" s="9" t="s">
        <v>145</v>
      </c>
      <c r="C92" s="9"/>
      <c r="D92" s="409" t="s">
        <v>148</v>
      </c>
      <c r="E92" s="410"/>
      <c r="F92" s="411"/>
      <c r="G92" s="391"/>
      <c r="H92" s="391"/>
      <c r="I92" s="407">
        <v>58600</v>
      </c>
      <c r="J92" s="406">
        <f t="shared" si="1"/>
        <v>739773.33</v>
      </c>
      <c r="K92" s="345"/>
    </row>
    <row r="93" ht="31.5" customHeight="1" spans="1:11">
      <c r="A93" s="389">
        <v>87</v>
      </c>
      <c r="B93" s="9" t="s">
        <v>145</v>
      </c>
      <c r="C93" s="9"/>
      <c r="D93" s="409" t="s">
        <v>149</v>
      </c>
      <c r="E93" s="410"/>
      <c r="F93" s="411"/>
      <c r="G93" s="391"/>
      <c r="H93" s="391"/>
      <c r="I93" s="407">
        <v>24848</v>
      </c>
      <c r="J93" s="406">
        <f t="shared" si="1"/>
        <v>714925.33</v>
      </c>
      <c r="K93" s="345"/>
    </row>
    <row r="94" ht="33.75" customHeight="1" spans="1:11">
      <c r="A94" s="389">
        <v>88</v>
      </c>
      <c r="B94" s="9" t="s">
        <v>145</v>
      </c>
      <c r="C94" s="9"/>
      <c r="D94" s="409" t="s">
        <v>150</v>
      </c>
      <c r="E94" s="410"/>
      <c r="F94" s="411"/>
      <c r="G94" s="391"/>
      <c r="H94" s="391"/>
      <c r="I94" s="407">
        <v>11000</v>
      </c>
      <c r="J94" s="406">
        <f t="shared" si="1"/>
        <v>703925.33</v>
      </c>
      <c r="K94" s="345"/>
    </row>
    <row r="95" ht="18" customHeight="1" spans="1:11">
      <c r="A95" s="389">
        <v>89</v>
      </c>
      <c r="B95" s="9" t="s">
        <v>145</v>
      </c>
      <c r="C95" s="9" t="s">
        <v>151</v>
      </c>
      <c r="D95" s="9" t="s">
        <v>152</v>
      </c>
      <c r="E95" s="396" t="s">
        <v>17</v>
      </c>
      <c r="F95" s="9"/>
      <c r="G95" s="391">
        <v>8000</v>
      </c>
      <c r="H95" s="391"/>
      <c r="I95" s="407"/>
      <c r="J95" s="406">
        <f t="shared" si="1"/>
        <v>711925.33</v>
      </c>
      <c r="K95" s="345"/>
    </row>
    <row r="96" ht="18" customHeight="1" spans="1:11">
      <c r="A96" s="389">
        <v>90</v>
      </c>
      <c r="B96" s="9" t="s">
        <v>145</v>
      </c>
      <c r="C96" s="9" t="s">
        <v>153</v>
      </c>
      <c r="D96" s="9" t="s">
        <v>152</v>
      </c>
      <c r="E96" s="396" t="s">
        <v>17</v>
      </c>
      <c r="F96" s="9"/>
      <c r="G96" s="391">
        <v>2020</v>
      </c>
      <c r="H96" s="391"/>
      <c r="I96" s="407"/>
      <c r="J96" s="406">
        <f t="shared" si="1"/>
        <v>713945.33</v>
      </c>
      <c r="K96" s="345"/>
    </row>
    <row r="97" ht="18" customHeight="1" spans="1:11">
      <c r="A97" s="389">
        <v>91</v>
      </c>
      <c r="B97" s="9" t="s">
        <v>145</v>
      </c>
      <c r="C97" s="9" t="s">
        <v>154</v>
      </c>
      <c r="D97" s="9" t="s">
        <v>37</v>
      </c>
      <c r="E97" s="396" t="s">
        <v>17</v>
      </c>
      <c r="F97" s="9"/>
      <c r="G97" s="391">
        <v>300</v>
      </c>
      <c r="H97" s="391"/>
      <c r="I97" s="407"/>
      <c r="J97" s="406">
        <f t="shared" si="1"/>
        <v>714245.33</v>
      </c>
      <c r="K97" s="345"/>
    </row>
    <row r="98" ht="18" customHeight="1" spans="1:11">
      <c r="A98" s="389">
        <v>92</v>
      </c>
      <c r="B98" s="9" t="s">
        <v>145</v>
      </c>
      <c r="C98" s="9" t="s">
        <v>155</v>
      </c>
      <c r="D98" s="9"/>
      <c r="E98" s="396" t="s">
        <v>17</v>
      </c>
      <c r="F98" s="9"/>
      <c r="G98" s="391">
        <v>200</v>
      </c>
      <c r="H98" s="391"/>
      <c r="I98" s="407"/>
      <c r="J98" s="406">
        <f t="shared" si="1"/>
        <v>714445.33</v>
      </c>
      <c r="K98" s="345"/>
    </row>
    <row r="99" ht="18" customHeight="1" spans="1:11">
      <c r="A99" s="389">
        <v>93</v>
      </c>
      <c r="B99" s="9" t="s">
        <v>145</v>
      </c>
      <c r="C99" s="9" t="s">
        <v>156</v>
      </c>
      <c r="D99" s="9" t="s">
        <v>52</v>
      </c>
      <c r="E99" s="396" t="s">
        <v>17</v>
      </c>
      <c r="F99" s="9"/>
      <c r="G99" s="391">
        <v>288</v>
      </c>
      <c r="H99" s="391"/>
      <c r="I99" s="407"/>
      <c r="J99" s="406">
        <f t="shared" si="1"/>
        <v>714733.33</v>
      </c>
      <c r="K99" s="345"/>
    </row>
    <row r="100" ht="18" customHeight="1" spans="1:11">
      <c r="A100" s="389">
        <v>94</v>
      </c>
      <c r="B100" s="9" t="s">
        <v>157</v>
      </c>
      <c r="C100" s="9" t="s">
        <v>158</v>
      </c>
      <c r="D100" s="9"/>
      <c r="E100" s="396" t="s">
        <v>17</v>
      </c>
      <c r="F100" s="9"/>
      <c r="G100" s="391">
        <v>200</v>
      </c>
      <c r="H100" s="391"/>
      <c r="I100" s="407"/>
      <c r="J100" s="406">
        <f t="shared" si="1"/>
        <v>714933.33</v>
      </c>
      <c r="K100" s="345"/>
    </row>
    <row r="101" ht="18" customHeight="1" spans="1:11">
      <c r="A101" s="389">
        <v>95</v>
      </c>
      <c r="B101" s="9" t="s">
        <v>159</v>
      </c>
      <c r="C101" s="9" t="s">
        <v>101</v>
      </c>
      <c r="D101" s="9" t="s">
        <v>102</v>
      </c>
      <c r="E101" s="396" t="s">
        <v>17</v>
      </c>
      <c r="F101" s="9"/>
      <c r="G101" s="391">
        <v>388</v>
      </c>
      <c r="H101" s="391"/>
      <c r="I101" s="407"/>
      <c r="J101" s="406">
        <f t="shared" si="1"/>
        <v>715321.33</v>
      </c>
      <c r="K101" s="345"/>
    </row>
    <row r="102" ht="18" customHeight="1" spans="1:11">
      <c r="A102" s="389">
        <v>96</v>
      </c>
      <c r="B102" s="9" t="s">
        <v>160</v>
      </c>
      <c r="C102" s="9" t="s">
        <v>161</v>
      </c>
      <c r="D102" s="9" t="s">
        <v>16</v>
      </c>
      <c r="E102" s="396" t="s">
        <v>17</v>
      </c>
      <c r="F102" s="9"/>
      <c r="G102" s="391">
        <v>688</v>
      </c>
      <c r="H102" s="391"/>
      <c r="I102" s="407"/>
      <c r="J102" s="406">
        <f t="shared" si="1"/>
        <v>716009.33</v>
      </c>
      <c r="K102" s="345"/>
    </row>
    <row r="103" ht="18" customHeight="1" spans="1:11">
      <c r="A103" s="389">
        <v>97</v>
      </c>
      <c r="B103" s="9" t="s">
        <v>162</v>
      </c>
      <c r="C103" s="9" t="s">
        <v>163</v>
      </c>
      <c r="D103" s="9"/>
      <c r="E103" s="396" t="s">
        <v>17</v>
      </c>
      <c r="F103" s="9"/>
      <c r="G103" s="391">
        <v>520</v>
      </c>
      <c r="H103" s="391"/>
      <c r="I103" s="407"/>
      <c r="J103" s="406">
        <f t="shared" si="1"/>
        <v>716529.33</v>
      </c>
      <c r="K103" s="345"/>
    </row>
    <row r="104" ht="18" customHeight="1" spans="1:11">
      <c r="A104" s="389">
        <v>98</v>
      </c>
      <c r="B104" s="9" t="s">
        <v>164</v>
      </c>
      <c r="C104" s="9" t="s">
        <v>165</v>
      </c>
      <c r="D104" s="9"/>
      <c r="E104" s="396" t="s">
        <v>17</v>
      </c>
      <c r="F104" s="9"/>
      <c r="G104" s="391">
        <v>100</v>
      </c>
      <c r="H104" s="391"/>
      <c r="I104" s="407"/>
      <c r="J104" s="406">
        <f t="shared" si="1"/>
        <v>716629.33</v>
      </c>
      <c r="K104" s="345"/>
    </row>
    <row r="105" ht="18" customHeight="1" spans="1:11">
      <c r="A105" s="389">
        <v>99</v>
      </c>
      <c r="B105" s="9" t="s">
        <v>164</v>
      </c>
      <c r="C105" s="9" t="s">
        <v>166</v>
      </c>
      <c r="D105" s="9"/>
      <c r="E105" s="396" t="s">
        <v>17</v>
      </c>
      <c r="F105" s="9"/>
      <c r="G105" s="391">
        <v>100</v>
      </c>
      <c r="H105" s="391"/>
      <c r="I105" s="407"/>
      <c r="J105" s="406">
        <f t="shared" si="1"/>
        <v>716729.33</v>
      </c>
      <c r="K105" s="345"/>
    </row>
    <row r="106" ht="18" customHeight="1" spans="1:11">
      <c r="A106" s="389">
        <v>100</v>
      </c>
      <c r="B106" s="9" t="s">
        <v>167</v>
      </c>
      <c r="C106" s="9"/>
      <c r="D106" s="397" t="s">
        <v>111</v>
      </c>
      <c r="E106" s="398"/>
      <c r="F106" s="399"/>
      <c r="G106" s="391"/>
      <c r="H106" s="391"/>
      <c r="I106" s="407">
        <v>3</v>
      </c>
      <c r="J106" s="406">
        <f t="shared" si="1"/>
        <v>716726.33</v>
      </c>
      <c r="K106" s="345"/>
    </row>
    <row r="107" ht="18" customHeight="1" spans="1:11">
      <c r="A107" s="389">
        <v>101</v>
      </c>
      <c r="B107" s="9" t="s">
        <v>168</v>
      </c>
      <c r="C107" s="9"/>
      <c r="D107" s="397" t="s">
        <v>169</v>
      </c>
      <c r="E107" s="398"/>
      <c r="F107" s="399"/>
      <c r="G107" s="391"/>
      <c r="H107" s="391"/>
      <c r="I107" s="407">
        <v>10000</v>
      </c>
      <c r="J107" s="406">
        <f t="shared" si="1"/>
        <v>706726.33</v>
      </c>
      <c r="K107" s="345"/>
    </row>
    <row r="108" ht="18" customHeight="1" spans="1:11">
      <c r="A108" s="389">
        <v>102</v>
      </c>
      <c r="B108" s="9" t="s">
        <v>170</v>
      </c>
      <c r="C108" s="9"/>
      <c r="D108" s="397" t="s">
        <v>171</v>
      </c>
      <c r="E108" s="398"/>
      <c r="F108" s="399"/>
      <c r="G108" s="391"/>
      <c r="H108" s="391"/>
      <c r="I108" s="407">
        <v>10120</v>
      </c>
      <c r="J108" s="406">
        <f t="shared" si="1"/>
        <v>696606.33</v>
      </c>
      <c r="K108" s="345"/>
    </row>
    <row r="109" ht="29.25" customHeight="1" spans="1:11">
      <c r="A109" s="389">
        <v>103</v>
      </c>
      <c r="B109" s="9" t="s">
        <v>172</v>
      </c>
      <c r="C109" s="9" t="s">
        <v>23</v>
      </c>
      <c r="D109" s="9" t="s">
        <v>24</v>
      </c>
      <c r="E109" s="412" t="s">
        <v>173</v>
      </c>
      <c r="F109" s="413"/>
      <c r="G109" s="391">
        <v>5000</v>
      </c>
      <c r="H109" s="391"/>
      <c r="I109" s="407">
        <v>5000</v>
      </c>
      <c r="J109" s="406">
        <f t="shared" si="1"/>
        <v>696606.33</v>
      </c>
      <c r="K109" s="345"/>
    </row>
    <row r="110" ht="33.75" customHeight="1" spans="1:11">
      <c r="A110" s="389">
        <v>104</v>
      </c>
      <c r="B110" s="9" t="s">
        <v>174</v>
      </c>
      <c r="C110" s="9"/>
      <c r="D110" s="409" t="s">
        <v>175</v>
      </c>
      <c r="E110" s="410"/>
      <c r="F110" s="411"/>
      <c r="G110" s="391"/>
      <c r="H110" s="391"/>
      <c r="I110" s="407">
        <v>1060</v>
      </c>
      <c r="J110" s="406">
        <f t="shared" si="1"/>
        <v>695546.33</v>
      </c>
      <c r="K110" s="345"/>
    </row>
    <row r="111" ht="18" customHeight="1" spans="1:11">
      <c r="A111" s="389">
        <v>105</v>
      </c>
      <c r="B111" s="9" t="s">
        <v>176</v>
      </c>
      <c r="C111" s="9" t="s">
        <v>80</v>
      </c>
      <c r="D111" s="9" t="s">
        <v>81</v>
      </c>
      <c r="E111" s="414" t="s">
        <v>177</v>
      </c>
      <c r="F111" s="415"/>
      <c r="G111" s="391"/>
      <c r="H111" s="391"/>
      <c r="I111" s="407"/>
      <c r="J111" s="406">
        <f t="shared" si="1"/>
        <v>695546.33</v>
      </c>
      <c r="K111" s="345"/>
    </row>
    <row r="112" ht="18" customHeight="1" spans="1:11">
      <c r="A112" s="389">
        <v>106</v>
      </c>
      <c r="B112" s="9" t="s">
        <v>178</v>
      </c>
      <c r="C112" s="9" t="s">
        <v>39</v>
      </c>
      <c r="D112" s="9" t="s">
        <v>40</v>
      </c>
      <c r="E112" s="396" t="s">
        <v>41</v>
      </c>
      <c r="F112" s="9" t="s">
        <v>179</v>
      </c>
      <c r="G112" s="391"/>
      <c r="H112" s="391">
        <v>498</v>
      </c>
      <c r="I112" s="407"/>
      <c r="J112" s="406">
        <f t="shared" si="1"/>
        <v>696044.33</v>
      </c>
      <c r="K112" s="345"/>
    </row>
    <row r="113" ht="18" customHeight="1" spans="1:11">
      <c r="A113" s="389">
        <v>107</v>
      </c>
      <c r="B113" s="9" t="s">
        <v>178</v>
      </c>
      <c r="C113" s="9" t="s">
        <v>39</v>
      </c>
      <c r="D113" s="9" t="s">
        <v>40</v>
      </c>
      <c r="E113" s="396" t="s">
        <v>41</v>
      </c>
      <c r="F113" s="9" t="s">
        <v>179</v>
      </c>
      <c r="G113" s="391"/>
      <c r="H113" s="391">
        <v>498</v>
      </c>
      <c r="I113" s="407"/>
      <c r="J113" s="406">
        <f t="shared" si="1"/>
        <v>696542.33</v>
      </c>
      <c r="K113" s="345"/>
    </row>
    <row r="114" ht="18" customHeight="1" spans="1:11">
      <c r="A114" s="389">
        <v>108</v>
      </c>
      <c r="B114" s="9" t="s">
        <v>180</v>
      </c>
      <c r="C114" s="9" t="s">
        <v>181</v>
      </c>
      <c r="D114" s="9"/>
      <c r="E114" s="396" t="s">
        <v>182</v>
      </c>
      <c r="F114" s="9" t="s">
        <v>183</v>
      </c>
      <c r="G114" s="391"/>
      <c r="H114" s="391">
        <v>318</v>
      </c>
      <c r="I114" s="407"/>
      <c r="J114" s="406">
        <f t="shared" si="1"/>
        <v>696860.33</v>
      </c>
      <c r="K114" s="345"/>
    </row>
    <row r="115" ht="18" customHeight="1" spans="1:11">
      <c r="A115" s="389">
        <v>109</v>
      </c>
      <c r="B115" s="9" t="s">
        <v>180</v>
      </c>
      <c r="C115" s="9" t="s">
        <v>181</v>
      </c>
      <c r="D115" s="9"/>
      <c r="E115" s="396" t="s">
        <v>182</v>
      </c>
      <c r="F115" s="9" t="s">
        <v>183</v>
      </c>
      <c r="G115" s="391"/>
      <c r="H115" s="391">
        <v>298</v>
      </c>
      <c r="I115" s="407"/>
      <c r="J115" s="406">
        <f t="shared" si="1"/>
        <v>697158.33</v>
      </c>
      <c r="K115" s="345"/>
    </row>
    <row r="116" ht="18" customHeight="1" spans="1:11">
      <c r="A116" s="389">
        <v>110</v>
      </c>
      <c r="B116" s="9" t="s">
        <v>180</v>
      </c>
      <c r="C116" s="9" t="s">
        <v>184</v>
      </c>
      <c r="D116" s="9"/>
      <c r="E116" s="396" t="s">
        <v>185</v>
      </c>
      <c r="F116" s="9" t="s">
        <v>183</v>
      </c>
      <c r="G116" s="391"/>
      <c r="H116" s="391">
        <v>66</v>
      </c>
      <c r="I116" s="407"/>
      <c r="J116" s="406">
        <f t="shared" si="1"/>
        <v>697224.33</v>
      </c>
      <c r="K116" s="345"/>
    </row>
    <row r="117" ht="18" customHeight="1" spans="1:11">
      <c r="A117" s="389">
        <v>111</v>
      </c>
      <c r="B117" s="9" t="s">
        <v>186</v>
      </c>
      <c r="C117" s="9"/>
      <c r="D117" s="397" t="s">
        <v>111</v>
      </c>
      <c r="E117" s="398"/>
      <c r="F117" s="399"/>
      <c r="G117" s="391"/>
      <c r="H117" s="391"/>
      <c r="I117" s="407">
        <v>3</v>
      </c>
      <c r="J117" s="406">
        <f t="shared" si="1"/>
        <v>697221.33</v>
      </c>
      <c r="K117" s="345"/>
    </row>
    <row r="118" ht="18" customHeight="1" spans="1:11">
      <c r="A118" s="389">
        <v>112</v>
      </c>
      <c r="B118" s="9" t="s">
        <v>186</v>
      </c>
      <c r="C118" s="9" t="s">
        <v>187</v>
      </c>
      <c r="D118" s="9" t="s">
        <v>188</v>
      </c>
      <c r="E118" s="396" t="s">
        <v>17</v>
      </c>
      <c r="F118" s="9"/>
      <c r="G118" s="391">
        <v>1000</v>
      </c>
      <c r="H118" s="391"/>
      <c r="I118" s="407"/>
      <c r="J118" s="406">
        <f t="shared" si="1"/>
        <v>698221.33</v>
      </c>
      <c r="K118" s="345"/>
    </row>
    <row r="119" ht="18" customHeight="1" spans="1:11">
      <c r="A119" s="389">
        <v>113</v>
      </c>
      <c r="B119" s="9" t="s">
        <v>189</v>
      </c>
      <c r="C119" s="9" t="s">
        <v>190</v>
      </c>
      <c r="D119" s="9"/>
      <c r="E119" s="396" t="s">
        <v>191</v>
      </c>
      <c r="F119" s="9" t="s">
        <v>192</v>
      </c>
      <c r="G119" s="391"/>
      <c r="H119" s="391">
        <v>240</v>
      </c>
      <c r="I119" s="407"/>
      <c r="J119" s="406">
        <f t="shared" si="1"/>
        <v>698461.33</v>
      </c>
      <c r="K119" s="345"/>
    </row>
    <row r="120" ht="18" customHeight="1" spans="1:11">
      <c r="A120" s="389">
        <v>114</v>
      </c>
      <c r="B120" s="9" t="s">
        <v>189</v>
      </c>
      <c r="C120" s="9" t="s">
        <v>190</v>
      </c>
      <c r="D120" s="9"/>
      <c r="E120" s="396" t="s">
        <v>193</v>
      </c>
      <c r="F120" s="9" t="s">
        <v>194</v>
      </c>
      <c r="G120" s="391"/>
      <c r="H120" s="391">
        <v>250</v>
      </c>
      <c r="I120" s="407"/>
      <c r="J120" s="406">
        <f t="shared" si="1"/>
        <v>698711.33</v>
      </c>
      <c r="K120" s="345"/>
    </row>
    <row r="121" ht="18" customHeight="1" spans="1:11">
      <c r="A121" s="389">
        <v>115</v>
      </c>
      <c r="B121" s="9" t="s">
        <v>189</v>
      </c>
      <c r="C121" s="9" t="s">
        <v>190</v>
      </c>
      <c r="D121" s="9"/>
      <c r="E121" s="396" t="s">
        <v>195</v>
      </c>
      <c r="F121" s="9" t="s">
        <v>194</v>
      </c>
      <c r="G121" s="391"/>
      <c r="H121" s="391">
        <v>238</v>
      </c>
      <c r="I121" s="407"/>
      <c r="J121" s="406">
        <f t="shared" si="1"/>
        <v>698949.33</v>
      </c>
      <c r="K121" s="345"/>
    </row>
    <row r="122" ht="18" customHeight="1" spans="1:11">
      <c r="A122" s="389">
        <v>116</v>
      </c>
      <c r="B122" s="9" t="s">
        <v>189</v>
      </c>
      <c r="C122" s="9" t="s">
        <v>190</v>
      </c>
      <c r="D122" s="9"/>
      <c r="E122" s="396" t="s">
        <v>196</v>
      </c>
      <c r="F122" s="9" t="s">
        <v>197</v>
      </c>
      <c r="G122" s="391"/>
      <c r="H122" s="391">
        <v>256</v>
      </c>
      <c r="I122" s="407"/>
      <c r="J122" s="406">
        <f t="shared" si="1"/>
        <v>699205.33</v>
      </c>
      <c r="K122" s="345"/>
    </row>
    <row r="123" ht="18" customHeight="1" spans="1:11">
      <c r="A123" s="389">
        <v>117</v>
      </c>
      <c r="B123" s="9" t="s">
        <v>189</v>
      </c>
      <c r="C123" s="9" t="s">
        <v>190</v>
      </c>
      <c r="D123" s="9"/>
      <c r="E123" s="396" t="s">
        <v>198</v>
      </c>
      <c r="F123" s="9" t="s">
        <v>42</v>
      </c>
      <c r="G123" s="391"/>
      <c r="H123" s="391">
        <v>266</v>
      </c>
      <c r="I123" s="407"/>
      <c r="J123" s="406">
        <f t="shared" si="1"/>
        <v>699471.33</v>
      </c>
      <c r="K123" s="345"/>
    </row>
    <row r="124" ht="18" customHeight="1" spans="1:11">
      <c r="A124" s="389">
        <v>118</v>
      </c>
      <c r="B124" s="9" t="s">
        <v>189</v>
      </c>
      <c r="C124" s="9" t="s">
        <v>190</v>
      </c>
      <c r="D124" s="9"/>
      <c r="E124" s="396" t="s">
        <v>199</v>
      </c>
      <c r="F124" s="9" t="s">
        <v>42</v>
      </c>
      <c r="G124" s="391"/>
      <c r="H124" s="391">
        <v>239</v>
      </c>
      <c r="I124" s="407"/>
      <c r="J124" s="406">
        <f t="shared" si="1"/>
        <v>699710.33</v>
      </c>
      <c r="K124" s="345"/>
    </row>
    <row r="125" ht="18" customHeight="1" spans="1:11">
      <c r="A125" s="389">
        <v>119</v>
      </c>
      <c r="B125" s="9" t="s">
        <v>200</v>
      </c>
      <c r="C125" s="9" t="s">
        <v>201</v>
      </c>
      <c r="D125" s="9" t="s">
        <v>86</v>
      </c>
      <c r="E125" s="396" t="s">
        <v>202</v>
      </c>
      <c r="F125" s="9" t="s">
        <v>135</v>
      </c>
      <c r="G125" s="391"/>
      <c r="H125" s="391">
        <v>288</v>
      </c>
      <c r="I125" s="407"/>
      <c r="J125" s="406">
        <f t="shared" si="1"/>
        <v>699998.33</v>
      </c>
      <c r="K125" s="345"/>
    </row>
    <row r="126" ht="18" customHeight="1" spans="1:11">
      <c r="A126" s="389">
        <v>120</v>
      </c>
      <c r="B126" s="9" t="s">
        <v>200</v>
      </c>
      <c r="C126" s="9" t="s">
        <v>203</v>
      </c>
      <c r="D126" s="9" t="s">
        <v>26</v>
      </c>
      <c r="E126" s="396" t="s">
        <v>204</v>
      </c>
      <c r="F126" s="9" t="s">
        <v>205</v>
      </c>
      <c r="G126" s="391"/>
      <c r="H126" s="391">
        <v>128</v>
      </c>
      <c r="I126" s="407"/>
      <c r="J126" s="406">
        <f t="shared" si="1"/>
        <v>700126.33</v>
      </c>
      <c r="K126" s="345"/>
    </row>
    <row r="127" ht="18" customHeight="1" spans="1:11">
      <c r="A127" s="389">
        <v>121</v>
      </c>
      <c r="B127" s="9" t="s">
        <v>200</v>
      </c>
      <c r="C127" s="9" t="s">
        <v>203</v>
      </c>
      <c r="D127" s="9" t="s">
        <v>26</v>
      </c>
      <c r="E127" s="396" t="s">
        <v>206</v>
      </c>
      <c r="F127" s="9" t="s">
        <v>100</v>
      </c>
      <c r="G127" s="391"/>
      <c r="H127" s="391">
        <v>268</v>
      </c>
      <c r="I127" s="407"/>
      <c r="J127" s="406">
        <f t="shared" si="1"/>
        <v>700394.33</v>
      </c>
      <c r="K127" s="345"/>
    </row>
    <row r="128" ht="18" customHeight="1" spans="1:11">
      <c r="A128" s="389">
        <v>122</v>
      </c>
      <c r="B128" s="9" t="s">
        <v>207</v>
      </c>
      <c r="C128" s="9" t="s">
        <v>29</v>
      </c>
      <c r="D128" s="9" t="s">
        <v>30</v>
      </c>
      <c r="E128" s="396" t="s">
        <v>202</v>
      </c>
      <c r="F128" s="9" t="s">
        <v>208</v>
      </c>
      <c r="G128" s="391"/>
      <c r="H128" s="391">
        <v>166</v>
      </c>
      <c r="I128" s="407"/>
      <c r="J128" s="406">
        <f t="shared" si="1"/>
        <v>700560.33</v>
      </c>
      <c r="K128" s="345"/>
    </row>
    <row r="129" ht="18" customHeight="1" spans="1:11">
      <c r="A129" s="389">
        <v>123</v>
      </c>
      <c r="B129" s="9" t="s">
        <v>207</v>
      </c>
      <c r="C129" s="9" t="s">
        <v>203</v>
      </c>
      <c r="D129" s="9" t="s">
        <v>26</v>
      </c>
      <c r="E129" s="396" t="s">
        <v>204</v>
      </c>
      <c r="F129" s="9" t="s">
        <v>194</v>
      </c>
      <c r="G129" s="391"/>
      <c r="H129" s="391">
        <v>138</v>
      </c>
      <c r="I129" s="407"/>
      <c r="J129" s="406">
        <f t="shared" si="1"/>
        <v>700698.33</v>
      </c>
      <c r="K129" s="345"/>
    </row>
    <row r="130" ht="18" customHeight="1" spans="1:11">
      <c r="A130" s="389">
        <v>124</v>
      </c>
      <c r="B130" s="9" t="s">
        <v>207</v>
      </c>
      <c r="C130" s="9" t="s">
        <v>203</v>
      </c>
      <c r="D130" s="9" t="s">
        <v>26</v>
      </c>
      <c r="E130" s="396" t="s">
        <v>206</v>
      </c>
      <c r="F130" s="9" t="s">
        <v>209</v>
      </c>
      <c r="G130" s="391"/>
      <c r="H130" s="391">
        <v>168</v>
      </c>
      <c r="I130" s="407"/>
      <c r="J130" s="406">
        <f t="shared" si="1"/>
        <v>700866.33</v>
      </c>
      <c r="K130" s="345"/>
    </row>
    <row r="131" ht="18" customHeight="1" spans="1:11">
      <c r="A131" s="389">
        <v>125</v>
      </c>
      <c r="B131" s="9" t="s">
        <v>210</v>
      </c>
      <c r="C131" s="9" t="s">
        <v>161</v>
      </c>
      <c r="D131" s="9" t="s">
        <v>16</v>
      </c>
      <c r="E131" s="396" t="s">
        <v>211</v>
      </c>
      <c r="F131" s="9" t="s">
        <v>179</v>
      </c>
      <c r="G131" s="391"/>
      <c r="H131" s="391">
        <v>238</v>
      </c>
      <c r="I131" s="407"/>
      <c r="J131" s="406">
        <f t="shared" si="1"/>
        <v>701104.33</v>
      </c>
      <c r="K131" s="345"/>
    </row>
    <row r="132" ht="18" customHeight="1" spans="1:11">
      <c r="A132" s="389">
        <v>126</v>
      </c>
      <c r="B132" s="9" t="s">
        <v>210</v>
      </c>
      <c r="C132" s="9" t="s">
        <v>155</v>
      </c>
      <c r="D132" s="9"/>
      <c r="E132" s="396" t="s">
        <v>99</v>
      </c>
      <c r="F132" s="9" t="s">
        <v>212</v>
      </c>
      <c r="G132" s="391"/>
      <c r="H132" s="391">
        <v>99</v>
      </c>
      <c r="I132" s="407"/>
      <c r="J132" s="406">
        <f t="shared" si="1"/>
        <v>701203.33</v>
      </c>
      <c r="K132" s="345"/>
    </row>
    <row r="133" ht="34.5" customHeight="1" spans="1:11">
      <c r="A133" s="389">
        <v>127</v>
      </c>
      <c r="B133" s="9" t="s">
        <v>213</v>
      </c>
      <c r="C133" s="9"/>
      <c r="D133" s="409" t="s">
        <v>214</v>
      </c>
      <c r="E133" s="410"/>
      <c r="F133" s="411"/>
      <c r="G133" s="391"/>
      <c r="H133" s="391"/>
      <c r="I133" s="407">
        <v>7060</v>
      </c>
      <c r="J133" s="406">
        <f t="shared" si="1"/>
        <v>694143.33</v>
      </c>
      <c r="K133" s="345"/>
    </row>
    <row r="134" ht="18" customHeight="1" spans="1:11">
      <c r="A134" s="389">
        <v>128</v>
      </c>
      <c r="B134" s="9" t="s">
        <v>215</v>
      </c>
      <c r="C134" s="9" t="s">
        <v>161</v>
      </c>
      <c r="D134" s="9" t="s">
        <v>16</v>
      </c>
      <c r="E134" s="396" t="s">
        <v>216</v>
      </c>
      <c r="F134" s="9" t="s">
        <v>104</v>
      </c>
      <c r="G134" s="391"/>
      <c r="H134" s="391">
        <v>227</v>
      </c>
      <c r="I134" s="407"/>
      <c r="J134" s="406">
        <f t="shared" si="1"/>
        <v>694370.33</v>
      </c>
      <c r="K134" s="345"/>
    </row>
    <row r="135" ht="18" customHeight="1" spans="1:11">
      <c r="A135" s="389">
        <v>129</v>
      </c>
      <c r="B135" s="9" t="s">
        <v>215</v>
      </c>
      <c r="C135" s="9" t="s">
        <v>203</v>
      </c>
      <c r="D135" s="9" t="s">
        <v>26</v>
      </c>
      <c r="E135" s="396" t="s">
        <v>217</v>
      </c>
      <c r="F135" s="9" t="s">
        <v>104</v>
      </c>
      <c r="G135" s="391"/>
      <c r="H135" s="391">
        <v>133</v>
      </c>
      <c r="I135" s="407"/>
      <c r="J135" s="406">
        <f t="shared" si="1"/>
        <v>694503.33</v>
      </c>
      <c r="K135" s="345"/>
    </row>
    <row r="136" ht="18" customHeight="1" spans="1:11">
      <c r="A136" s="389">
        <v>130</v>
      </c>
      <c r="B136" s="9" t="s">
        <v>215</v>
      </c>
      <c r="C136" s="9" t="s">
        <v>203</v>
      </c>
      <c r="D136" s="9" t="s">
        <v>26</v>
      </c>
      <c r="E136" s="396" t="s">
        <v>218</v>
      </c>
      <c r="F136" s="9" t="s">
        <v>219</v>
      </c>
      <c r="G136" s="391"/>
      <c r="H136" s="391">
        <v>158</v>
      </c>
      <c r="I136" s="407"/>
      <c r="J136" s="406">
        <f t="shared" ref="J136:J199" si="2">J135+G136+H136-I136</f>
        <v>694661.33</v>
      </c>
      <c r="K136" s="345"/>
    </row>
    <row r="137" ht="18" customHeight="1" spans="1:11">
      <c r="A137" s="389">
        <v>131</v>
      </c>
      <c r="B137" s="9" t="s">
        <v>220</v>
      </c>
      <c r="C137" s="9" t="s">
        <v>221</v>
      </c>
      <c r="D137" s="9" t="s">
        <v>222</v>
      </c>
      <c r="E137" s="396" t="s">
        <v>17</v>
      </c>
      <c r="F137" s="9"/>
      <c r="G137" s="391">
        <v>500</v>
      </c>
      <c r="H137" s="391"/>
      <c r="I137" s="407"/>
      <c r="J137" s="406">
        <f t="shared" si="2"/>
        <v>695161.33</v>
      </c>
      <c r="K137" s="345"/>
    </row>
    <row r="138" ht="18" customHeight="1" spans="1:11">
      <c r="A138" s="389">
        <v>132</v>
      </c>
      <c r="B138" s="9" t="s">
        <v>223</v>
      </c>
      <c r="C138" s="9"/>
      <c r="D138" s="397" t="s">
        <v>111</v>
      </c>
      <c r="E138" s="398"/>
      <c r="F138" s="399"/>
      <c r="G138" s="391"/>
      <c r="H138" s="391"/>
      <c r="I138" s="407">
        <v>3</v>
      </c>
      <c r="J138" s="406">
        <f t="shared" si="2"/>
        <v>695158.33</v>
      </c>
      <c r="K138" s="345"/>
    </row>
    <row r="139" ht="18" customHeight="1" spans="1:11">
      <c r="A139" s="389">
        <v>133</v>
      </c>
      <c r="B139" s="9" t="s">
        <v>224</v>
      </c>
      <c r="C139" s="9" t="s">
        <v>225</v>
      </c>
      <c r="D139" s="9" t="s">
        <v>16</v>
      </c>
      <c r="E139" s="396" t="s">
        <v>226</v>
      </c>
      <c r="F139" s="9" t="s">
        <v>179</v>
      </c>
      <c r="G139" s="391"/>
      <c r="H139" s="391">
        <v>298</v>
      </c>
      <c r="I139" s="407"/>
      <c r="J139" s="406">
        <f t="shared" si="2"/>
        <v>695456.33</v>
      </c>
      <c r="K139" s="345"/>
    </row>
    <row r="140" ht="18" customHeight="1" spans="1:11">
      <c r="A140" s="389">
        <v>134</v>
      </c>
      <c r="B140" s="9" t="s">
        <v>224</v>
      </c>
      <c r="C140" s="9" t="s">
        <v>203</v>
      </c>
      <c r="D140" s="9" t="s">
        <v>26</v>
      </c>
      <c r="E140" s="396" t="s">
        <v>218</v>
      </c>
      <c r="F140" s="9" t="s">
        <v>227</v>
      </c>
      <c r="G140" s="391"/>
      <c r="H140" s="391">
        <v>138</v>
      </c>
      <c r="I140" s="407"/>
      <c r="J140" s="406">
        <f t="shared" si="2"/>
        <v>695594.33</v>
      </c>
      <c r="K140" s="345"/>
    </row>
    <row r="141" ht="18" customHeight="1" spans="1:11">
      <c r="A141" s="389">
        <v>135</v>
      </c>
      <c r="B141" s="9" t="s">
        <v>228</v>
      </c>
      <c r="C141" s="9" t="s">
        <v>59</v>
      </c>
      <c r="D141" s="9" t="s">
        <v>60</v>
      </c>
      <c r="E141" s="396" t="s">
        <v>229</v>
      </c>
      <c r="F141" s="9" t="s">
        <v>230</v>
      </c>
      <c r="G141" s="391"/>
      <c r="H141" s="391">
        <v>388</v>
      </c>
      <c r="I141" s="407"/>
      <c r="J141" s="406">
        <f t="shared" si="2"/>
        <v>695982.33</v>
      </c>
      <c r="K141" s="345"/>
    </row>
    <row r="142" ht="18" customHeight="1" spans="1:11">
      <c r="A142" s="389">
        <v>136</v>
      </c>
      <c r="B142" s="9" t="s">
        <v>231</v>
      </c>
      <c r="C142" s="9" t="s">
        <v>232</v>
      </c>
      <c r="D142" s="9" t="s">
        <v>233</v>
      </c>
      <c r="E142" s="396" t="s">
        <v>234</v>
      </c>
      <c r="F142" s="9" t="s">
        <v>135</v>
      </c>
      <c r="G142" s="391"/>
      <c r="H142" s="391">
        <v>168</v>
      </c>
      <c r="I142" s="407"/>
      <c r="J142" s="406">
        <f t="shared" si="2"/>
        <v>696150.33</v>
      </c>
      <c r="K142" s="345"/>
    </row>
    <row r="143" ht="18" customHeight="1" spans="1:11">
      <c r="A143" s="389">
        <v>137</v>
      </c>
      <c r="B143" s="9" t="s">
        <v>231</v>
      </c>
      <c r="C143" s="9" t="s">
        <v>38</v>
      </c>
      <c r="D143" s="9" t="s">
        <v>34</v>
      </c>
      <c r="E143" s="396" t="s">
        <v>235</v>
      </c>
      <c r="F143" s="9" t="s">
        <v>135</v>
      </c>
      <c r="G143" s="391"/>
      <c r="H143" s="391">
        <v>168</v>
      </c>
      <c r="I143" s="407"/>
      <c r="J143" s="406">
        <f t="shared" si="2"/>
        <v>696318.33</v>
      </c>
      <c r="K143" s="345"/>
    </row>
    <row r="144" ht="18" customHeight="1" spans="1:11">
      <c r="A144" s="389">
        <v>138</v>
      </c>
      <c r="B144" s="9" t="s">
        <v>236</v>
      </c>
      <c r="C144" s="9" t="s">
        <v>237</v>
      </c>
      <c r="D144" s="9"/>
      <c r="E144" s="396" t="s">
        <v>238</v>
      </c>
      <c r="F144" s="9" t="s">
        <v>208</v>
      </c>
      <c r="G144" s="391"/>
      <c r="H144" s="391">
        <v>208</v>
      </c>
      <c r="I144" s="407"/>
      <c r="J144" s="406">
        <f t="shared" si="2"/>
        <v>696526.33</v>
      </c>
      <c r="K144" s="345"/>
    </row>
    <row r="145" ht="18" customHeight="1" spans="1:11">
      <c r="A145" s="389">
        <v>139</v>
      </c>
      <c r="B145" s="9" t="s">
        <v>239</v>
      </c>
      <c r="C145" s="9"/>
      <c r="D145" s="397" t="s">
        <v>111</v>
      </c>
      <c r="E145" s="398"/>
      <c r="F145" s="399"/>
      <c r="G145" s="391"/>
      <c r="H145" s="391"/>
      <c r="I145" s="407">
        <v>3</v>
      </c>
      <c r="J145" s="406">
        <f t="shared" si="2"/>
        <v>696523.33</v>
      </c>
      <c r="K145" s="345"/>
    </row>
    <row r="146" ht="18" customHeight="1" spans="1:11">
      <c r="A146" s="389">
        <v>140</v>
      </c>
      <c r="B146" s="9" t="s">
        <v>240</v>
      </c>
      <c r="C146" s="9" t="s">
        <v>38</v>
      </c>
      <c r="D146" s="9" t="s">
        <v>34</v>
      </c>
      <c r="E146" s="396" t="s">
        <v>235</v>
      </c>
      <c r="F146" s="9" t="s">
        <v>241</v>
      </c>
      <c r="G146" s="391"/>
      <c r="H146" s="391">
        <v>238</v>
      </c>
      <c r="I146" s="407"/>
      <c r="J146" s="406">
        <f t="shared" si="2"/>
        <v>696761.33</v>
      </c>
      <c r="K146" s="345"/>
    </row>
    <row r="147" ht="18" customHeight="1" spans="1:11">
      <c r="A147" s="389">
        <v>141</v>
      </c>
      <c r="B147" s="9" t="s">
        <v>240</v>
      </c>
      <c r="C147" s="9" t="s">
        <v>203</v>
      </c>
      <c r="D147" s="9" t="s">
        <v>26</v>
      </c>
      <c r="E147" s="396" t="s">
        <v>242</v>
      </c>
      <c r="F147" s="9" t="s">
        <v>243</v>
      </c>
      <c r="G147" s="391"/>
      <c r="H147" s="391">
        <v>88</v>
      </c>
      <c r="I147" s="407"/>
      <c r="J147" s="406">
        <f t="shared" si="2"/>
        <v>696849.33</v>
      </c>
      <c r="K147" s="345"/>
    </row>
    <row r="148" ht="18" customHeight="1" spans="1:11">
      <c r="A148" s="389">
        <v>142</v>
      </c>
      <c r="B148" s="9" t="s">
        <v>240</v>
      </c>
      <c r="C148" s="9" t="s">
        <v>203</v>
      </c>
      <c r="D148" s="9" t="s">
        <v>26</v>
      </c>
      <c r="E148" s="396" t="s">
        <v>244</v>
      </c>
      <c r="F148" s="9" t="s">
        <v>219</v>
      </c>
      <c r="G148" s="391"/>
      <c r="H148" s="391">
        <v>39</v>
      </c>
      <c r="I148" s="407"/>
      <c r="J148" s="406">
        <f t="shared" si="2"/>
        <v>696888.33</v>
      </c>
      <c r="K148" s="345"/>
    </row>
    <row r="149" ht="18" customHeight="1" spans="1:11">
      <c r="A149" s="389">
        <v>143</v>
      </c>
      <c r="B149" s="9" t="s">
        <v>245</v>
      </c>
      <c r="C149" s="9" t="s">
        <v>38</v>
      </c>
      <c r="D149" s="9" t="s">
        <v>34</v>
      </c>
      <c r="E149" s="396" t="s">
        <v>235</v>
      </c>
      <c r="F149" s="9" t="s">
        <v>135</v>
      </c>
      <c r="G149" s="391"/>
      <c r="H149" s="391">
        <v>168</v>
      </c>
      <c r="I149" s="407"/>
      <c r="J149" s="406">
        <f t="shared" si="2"/>
        <v>697056.33</v>
      </c>
      <c r="K149" s="345"/>
    </row>
    <row r="150" ht="18" customHeight="1" spans="1:11">
      <c r="A150" s="389">
        <v>144</v>
      </c>
      <c r="B150" s="9" t="s">
        <v>245</v>
      </c>
      <c r="C150" s="9" t="s">
        <v>203</v>
      </c>
      <c r="D150" s="9" t="s">
        <v>26</v>
      </c>
      <c r="E150" s="396" t="s">
        <v>242</v>
      </c>
      <c r="F150" s="9" t="s">
        <v>192</v>
      </c>
      <c r="G150" s="391"/>
      <c r="H150" s="391">
        <v>92</v>
      </c>
      <c r="I150" s="407"/>
      <c r="J150" s="406">
        <f t="shared" si="2"/>
        <v>697148.33</v>
      </c>
      <c r="K150" s="345"/>
    </row>
    <row r="151" ht="18" customHeight="1" spans="1:11">
      <c r="A151" s="389">
        <v>145</v>
      </c>
      <c r="B151" s="9" t="s">
        <v>245</v>
      </c>
      <c r="C151" s="9" t="s">
        <v>246</v>
      </c>
      <c r="D151" s="9" t="s">
        <v>81</v>
      </c>
      <c r="E151" s="396" t="s">
        <v>247</v>
      </c>
      <c r="F151" s="9" t="s">
        <v>194</v>
      </c>
      <c r="G151" s="391"/>
      <c r="H151" s="391">
        <v>50</v>
      </c>
      <c r="I151" s="407"/>
      <c r="J151" s="406">
        <f t="shared" si="2"/>
        <v>697198.33</v>
      </c>
      <c r="K151" s="345"/>
    </row>
    <row r="152" ht="18" customHeight="1" spans="1:11">
      <c r="A152" s="389">
        <v>146</v>
      </c>
      <c r="B152" s="9" t="s">
        <v>245</v>
      </c>
      <c r="C152" s="9" t="s">
        <v>246</v>
      </c>
      <c r="D152" s="9" t="s">
        <v>81</v>
      </c>
      <c r="E152" s="396" t="s">
        <v>247</v>
      </c>
      <c r="F152" s="9" t="s">
        <v>248</v>
      </c>
      <c r="G152" s="391"/>
      <c r="H152" s="391">
        <v>52</v>
      </c>
      <c r="I152" s="407"/>
      <c r="J152" s="406">
        <f t="shared" si="2"/>
        <v>697250.33</v>
      </c>
      <c r="K152" s="345"/>
    </row>
    <row r="153" ht="18" customHeight="1" spans="1:11">
      <c r="A153" s="389">
        <v>147</v>
      </c>
      <c r="B153" s="9" t="s">
        <v>249</v>
      </c>
      <c r="C153" s="9" t="s">
        <v>232</v>
      </c>
      <c r="D153" s="9" t="s">
        <v>233</v>
      </c>
      <c r="E153" s="396" t="s">
        <v>234</v>
      </c>
      <c r="F153" s="9" t="s">
        <v>227</v>
      </c>
      <c r="G153" s="391"/>
      <c r="H153" s="391">
        <v>98</v>
      </c>
      <c r="I153" s="407"/>
      <c r="J153" s="406">
        <f t="shared" si="2"/>
        <v>697348.33</v>
      </c>
      <c r="K153" s="345"/>
    </row>
    <row r="154" ht="18" customHeight="1" spans="1:11">
      <c r="A154" s="389">
        <v>148</v>
      </c>
      <c r="B154" s="9" t="s">
        <v>249</v>
      </c>
      <c r="C154" s="9" t="s">
        <v>203</v>
      </c>
      <c r="D154" s="9" t="s">
        <v>26</v>
      </c>
      <c r="E154" s="396" t="s">
        <v>250</v>
      </c>
      <c r="F154" s="9" t="s">
        <v>251</v>
      </c>
      <c r="G154" s="391"/>
      <c r="H154" s="391">
        <v>230</v>
      </c>
      <c r="I154" s="407"/>
      <c r="J154" s="406">
        <f t="shared" si="2"/>
        <v>697578.33</v>
      </c>
      <c r="K154" s="345"/>
    </row>
    <row r="155" ht="18" customHeight="1" spans="1:11">
      <c r="A155" s="389">
        <v>149</v>
      </c>
      <c r="B155" s="9" t="s">
        <v>252</v>
      </c>
      <c r="C155" s="9" t="s">
        <v>232</v>
      </c>
      <c r="D155" s="9" t="s">
        <v>233</v>
      </c>
      <c r="E155" s="396" t="s">
        <v>253</v>
      </c>
      <c r="F155" s="9" t="s">
        <v>254</v>
      </c>
      <c r="G155" s="391"/>
      <c r="H155" s="391">
        <v>388</v>
      </c>
      <c r="I155" s="407"/>
      <c r="J155" s="406">
        <f t="shared" si="2"/>
        <v>697966.33</v>
      </c>
      <c r="K155" s="345"/>
    </row>
    <row r="156" ht="18" customHeight="1" spans="1:11">
      <c r="A156" s="389">
        <v>150</v>
      </c>
      <c r="B156" s="9" t="s">
        <v>252</v>
      </c>
      <c r="C156" s="9" t="s">
        <v>203</v>
      </c>
      <c r="D156" s="9" t="s">
        <v>26</v>
      </c>
      <c r="E156" s="396" t="s">
        <v>250</v>
      </c>
      <c r="F156" s="9" t="s">
        <v>243</v>
      </c>
      <c r="G156" s="391"/>
      <c r="H156" s="391">
        <v>240</v>
      </c>
      <c r="I156" s="407"/>
      <c r="J156" s="406">
        <f t="shared" si="2"/>
        <v>698206.33</v>
      </c>
      <c r="K156" s="345"/>
    </row>
    <row r="157" ht="18" customHeight="1" spans="1:11">
      <c r="A157" s="389">
        <v>151</v>
      </c>
      <c r="B157" s="9" t="s">
        <v>252</v>
      </c>
      <c r="C157" s="9"/>
      <c r="D157" s="397" t="s">
        <v>255</v>
      </c>
      <c r="E157" s="398"/>
      <c r="F157" s="399"/>
      <c r="G157" s="391"/>
      <c r="H157" s="391"/>
      <c r="I157" s="407">
        <v>20000</v>
      </c>
      <c r="J157" s="406">
        <f t="shared" si="2"/>
        <v>678206.33</v>
      </c>
      <c r="K157" s="345"/>
    </row>
    <row r="158" ht="18" customHeight="1" spans="1:11">
      <c r="A158" s="389">
        <v>152</v>
      </c>
      <c r="B158" s="9" t="s">
        <v>256</v>
      </c>
      <c r="C158" s="9"/>
      <c r="D158" s="397" t="s">
        <v>111</v>
      </c>
      <c r="E158" s="398"/>
      <c r="F158" s="399"/>
      <c r="G158" s="391"/>
      <c r="H158" s="391"/>
      <c r="I158" s="407">
        <v>3</v>
      </c>
      <c r="J158" s="406">
        <f t="shared" si="2"/>
        <v>678203.33</v>
      </c>
      <c r="K158" s="345"/>
    </row>
    <row r="159" ht="18" customHeight="1" spans="1:11">
      <c r="A159" s="389">
        <v>153</v>
      </c>
      <c r="B159" s="9" t="s">
        <v>256</v>
      </c>
      <c r="C159" s="9" t="s">
        <v>232</v>
      </c>
      <c r="D159" s="9" t="s">
        <v>233</v>
      </c>
      <c r="E159" s="396" t="s">
        <v>257</v>
      </c>
      <c r="F159" s="9" t="s">
        <v>258</v>
      </c>
      <c r="G159" s="391"/>
      <c r="H159" s="391">
        <v>169</v>
      </c>
      <c r="I159" s="407"/>
      <c r="J159" s="406">
        <f t="shared" si="2"/>
        <v>678372.33</v>
      </c>
      <c r="K159" s="345"/>
    </row>
    <row r="160" ht="18" customHeight="1" spans="1:11">
      <c r="A160" s="389">
        <v>154</v>
      </c>
      <c r="B160" s="9" t="s">
        <v>256</v>
      </c>
      <c r="C160" s="9" t="s">
        <v>29</v>
      </c>
      <c r="D160" s="9" t="s">
        <v>30</v>
      </c>
      <c r="E160" s="396" t="s">
        <v>99</v>
      </c>
      <c r="F160" s="9" t="s">
        <v>258</v>
      </c>
      <c r="G160" s="391"/>
      <c r="H160" s="391">
        <v>169</v>
      </c>
      <c r="I160" s="407"/>
      <c r="J160" s="406">
        <f t="shared" si="2"/>
        <v>678541.33</v>
      </c>
      <c r="K160" s="345"/>
    </row>
    <row r="161" ht="18" customHeight="1" spans="1:11">
      <c r="A161" s="389">
        <v>155</v>
      </c>
      <c r="B161" s="9" t="s">
        <v>259</v>
      </c>
      <c r="C161" s="9" t="s">
        <v>80</v>
      </c>
      <c r="D161" s="9" t="s">
        <v>81</v>
      </c>
      <c r="E161" s="396" t="s">
        <v>260</v>
      </c>
      <c r="F161" s="9" t="s">
        <v>261</v>
      </c>
      <c r="G161" s="391"/>
      <c r="H161" s="391">
        <v>428</v>
      </c>
      <c r="I161" s="407"/>
      <c r="J161" s="406">
        <f t="shared" si="2"/>
        <v>678969.33</v>
      </c>
      <c r="K161" s="345"/>
    </row>
    <row r="162" ht="18" customHeight="1" spans="1:11">
      <c r="A162" s="389">
        <v>156</v>
      </c>
      <c r="B162" s="9" t="s">
        <v>259</v>
      </c>
      <c r="C162" s="9" t="s">
        <v>80</v>
      </c>
      <c r="D162" s="9" t="s">
        <v>81</v>
      </c>
      <c r="E162" s="396" t="s">
        <v>262</v>
      </c>
      <c r="F162" s="9" t="s">
        <v>263</v>
      </c>
      <c r="G162" s="391"/>
      <c r="H162" s="391">
        <v>288</v>
      </c>
      <c r="I162" s="407"/>
      <c r="J162" s="406">
        <f t="shared" si="2"/>
        <v>679257.33</v>
      </c>
      <c r="K162" s="345"/>
    </row>
    <row r="163" ht="18" customHeight="1" spans="1:11">
      <c r="A163" s="389">
        <v>157</v>
      </c>
      <c r="B163" s="9" t="s">
        <v>259</v>
      </c>
      <c r="C163" s="9" t="s">
        <v>80</v>
      </c>
      <c r="D163" s="9" t="s">
        <v>81</v>
      </c>
      <c r="E163" s="396" t="s">
        <v>264</v>
      </c>
      <c r="F163" s="9" t="s">
        <v>265</v>
      </c>
      <c r="G163" s="391"/>
      <c r="H163" s="391">
        <v>188</v>
      </c>
      <c r="I163" s="407"/>
      <c r="J163" s="406">
        <f t="shared" si="2"/>
        <v>679445.33</v>
      </c>
      <c r="K163" s="345"/>
    </row>
    <row r="164" ht="18" customHeight="1" spans="1:11">
      <c r="A164" s="389">
        <v>158</v>
      </c>
      <c r="B164" s="9" t="s">
        <v>266</v>
      </c>
      <c r="C164" s="9" t="s">
        <v>27</v>
      </c>
      <c r="D164" s="9" t="s">
        <v>28</v>
      </c>
      <c r="E164" s="396" t="s">
        <v>267</v>
      </c>
      <c r="F164" s="9" t="s">
        <v>268</v>
      </c>
      <c r="G164" s="391"/>
      <c r="H164" s="391">
        <v>600</v>
      </c>
      <c r="I164" s="407"/>
      <c r="J164" s="406">
        <f t="shared" si="2"/>
        <v>680045.33</v>
      </c>
      <c r="K164" s="345"/>
    </row>
    <row r="165" ht="18" customHeight="1" spans="1:11">
      <c r="A165" s="389">
        <v>159</v>
      </c>
      <c r="B165" s="9" t="s">
        <v>269</v>
      </c>
      <c r="C165" s="9" t="s">
        <v>270</v>
      </c>
      <c r="D165" s="9" t="s">
        <v>40</v>
      </c>
      <c r="E165" s="396" t="s">
        <v>271</v>
      </c>
      <c r="F165" s="9" t="s">
        <v>272</v>
      </c>
      <c r="G165" s="391"/>
      <c r="H165" s="391">
        <v>528</v>
      </c>
      <c r="I165" s="407"/>
      <c r="J165" s="406">
        <f t="shared" si="2"/>
        <v>680573.33</v>
      </c>
      <c r="K165" s="345"/>
    </row>
    <row r="166" ht="18" customHeight="1" spans="1:11">
      <c r="A166" s="389">
        <v>160</v>
      </c>
      <c r="B166" s="9" t="s">
        <v>269</v>
      </c>
      <c r="C166" s="9" t="s">
        <v>273</v>
      </c>
      <c r="D166" s="9" t="s">
        <v>71</v>
      </c>
      <c r="E166" s="396" t="s">
        <v>274</v>
      </c>
      <c r="F166" s="9" t="s">
        <v>275</v>
      </c>
      <c r="G166" s="391"/>
      <c r="H166" s="391">
        <v>120</v>
      </c>
      <c r="I166" s="407"/>
      <c r="J166" s="406">
        <f t="shared" si="2"/>
        <v>680693.33</v>
      </c>
      <c r="K166" s="345"/>
    </row>
    <row r="167" ht="18" customHeight="1" spans="1:11">
      <c r="A167" s="389">
        <v>161</v>
      </c>
      <c r="B167" s="9" t="s">
        <v>276</v>
      </c>
      <c r="C167" s="9"/>
      <c r="D167" s="397" t="s">
        <v>277</v>
      </c>
      <c r="E167" s="398"/>
      <c r="F167" s="399"/>
      <c r="G167" s="391"/>
      <c r="H167" s="391"/>
      <c r="I167" s="407">
        <v>15000</v>
      </c>
      <c r="J167" s="406">
        <f t="shared" si="2"/>
        <v>665693.33</v>
      </c>
      <c r="K167" s="345"/>
    </row>
    <row r="168" ht="18" customHeight="1" spans="1:11">
      <c r="A168" s="389">
        <v>162</v>
      </c>
      <c r="B168" s="9" t="s">
        <v>278</v>
      </c>
      <c r="C168" s="9" t="s">
        <v>270</v>
      </c>
      <c r="D168" s="9" t="s">
        <v>40</v>
      </c>
      <c r="E168" s="396" t="s">
        <v>279</v>
      </c>
      <c r="F168" s="9" t="s">
        <v>280</v>
      </c>
      <c r="G168" s="391"/>
      <c r="H168" s="391">
        <v>338</v>
      </c>
      <c r="I168" s="407"/>
      <c r="J168" s="406">
        <f t="shared" si="2"/>
        <v>666031.33</v>
      </c>
      <c r="K168" s="345"/>
    </row>
    <row r="169" ht="18" customHeight="1" spans="1:11">
      <c r="A169" s="389">
        <v>163</v>
      </c>
      <c r="B169" s="9" t="s">
        <v>278</v>
      </c>
      <c r="C169" s="9" t="s">
        <v>281</v>
      </c>
      <c r="D169" s="9" t="s">
        <v>282</v>
      </c>
      <c r="E169" s="396" t="s">
        <v>283</v>
      </c>
      <c r="F169" s="9" t="s">
        <v>284</v>
      </c>
      <c r="G169" s="391"/>
      <c r="H169" s="391">
        <v>188</v>
      </c>
      <c r="I169" s="407"/>
      <c r="J169" s="406">
        <f t="shared" si="2"/>
        <v>666219.33</v>
      </c>
      <c r="K169" s="345"/>
    </row>
    <row r="170" ht="18" customHeight="1" spans="1:11">
      <c r="A170" s="389">
        <v>164</v>
      </c>
      <c r="B170" s="9" t="s">
        <v>285</v>
      </c>
      <c r="C170" s="9"/>
      <c r="D170" s="397" t="s">
        <v>111</v>
      </c>
      <c r="E170" s="398"/>
      <c r="F170" s="399"/>
      <c r="G170" s="391"/>
      <c r="H170" s="391"/>
      <c r="I170" s="407">
        <v>3</v>
      </c>
      <c r="J170" s="406">
        <f t="shared" si="2"/>
        <v>666216.33</v>
      </c>
      <c r="K170" s="345"/>
    </row>
    <row r="171" ht="18" customHeight="1" spans="1:11">
      <c r="A171" s="389">
        <v>165</v>
      </c>
      <c r="B171" s="9" t="s">
        <v>286</v>
      </c>
      <c r="C171" s="9" t="s">
        <v>270</v>
      </c>
      <c r="D171" s="9" t="s">
        <v>40</v>
      </c>
      <c r="E171" s="396" t="s">
        <v>271</v>
      </c>
      <c r="F171" s="9" t="s">
        <v>179</v>
      </c>
      <c r="G171" s="391"/>
      <c r="H171" s="391">
        <v>299</v>
      </c>
      <c r="I171" s="407"/>
      <c r="J171" s="406">
        <f t="shared" si="2"/>
        <v>666515.33</v>
      </c>
      <c r="K171" s="345"/>
    </row>
    <row r="172" ht="18" customHeight="1" spans="1:11">
      <c r="A172" s="389">
        <v>166</v>
      </c>
      <c r="B172" s="9" t="s">
        <v>286</v>
      </c>
      <c r="C172" s="9" t="s">
        <v>273</v>
      </c>
      <c r="D172" s="9" t="s">
        <v>71</v>
      </c>
      <c r="E172" s="396" t="s">
        <v>274</v>
      </c>
      <c r="F172" s="9" t="s">
        <v>287</v>
      </c>
      <c r="G172" s="391"/>
      <c r="H172" s="391">
        <v>118</v>
      </c>
      <c r="I172" s="407"/>
      <c r="J172" s="406">
        <f t="shared" si="2"/>
        <v>666633.33</v>
      </c>
      <c r="K172" s="345"/>
    </row>
    <row r="173" ht="18" customHeight="1" spans="1:11">
      <c r="A173" s="389">
        <v>167</v>
      </c>
      <c r="B173" s="9" t="s">
        <v>288</v>
      </c>
      <c r="C173" s="9" t="s">
        <v>270</v>
      </c>
      <c r="D173" s="9" t="s">
        <v>40</v>
      </c>
      <c r="E173" s="396" t="s">
        <v>289</v>
      </c>
      <c r="F173" s="9" t="s">
        <v>179</v>
      </c>
      <c r="G173" s="391"/>
      <c r="H173" s="391">
        <v>168</v>
      </c>
      <c r="I173" s="407"/>
      <c r="J173" s="406">
        <f t="shared" si="2"/>
        <v>666801.33</v>
      </c>
      <c r="K173" s="345"/>
    </row>
    <row r="174" ht="18" customHeight="1" spans="1:11">
      <c r="A174" s="389">
        <v>168</v>
      </c>
      <c r="B174" s="9" t="s">
        <v>288</v>
      </c>
      <c r="C174" s="9" t="s">
        <v>101</v>
      </c>
      <c r="D174" s="9" t="s">
        <v>102</v>
      </c>
      <c r="E174" s="396" t="s">
        <v>290</v>
      </c>
      <c r="F174" s="9" t="s">
        <v>291</v>
      </c>
      <c r="G174" s="391"/>
      <c r="H174" s="391">
        <v>258</v>
      </c>
      <c r="I174" s="407"/>
      <c r="J174" s="406">
        <f t="shared" si="2"/>
        <v>667059.33</v>
      </c>
      <c r="K174" s="345"/>
    </row>
    <row r="175" ht="18" customHeight="1" spans="1:11">
      <c r="A175" s="389">
        <v>169</v>
      </c>
      <c r="B175" s="9" t="s">
        <v>292</v>
      </c>
      <c r="C175" s="9" t="s">
        <v>127</v>
      </c>
      <c r="D175" s="9"/>
      <c r="E175" s="396" t="s">
        <v>293</v>
      </c>
      <c r="F175" s="9" t="s">
        <v>294</v>
      </c>
      <c r="G175" s="391"/>
      <c r="H175" s="391">
        <v>188</v>
      </c>
      <c r="I175" s="407"/>
      <c r="J175" s="406">
        <f t="shared" si="2"/>
        <v>667247.33</v>
      </c>
      <c r="K175" s="345"/>
    </row>
    <row r="176" ht="18" customHeight="1" spans="1:11">
      <c r="A176" s="389">
        <v>170</v>
      </c>
      <c r="B176" s="9" t="s">
        <v>292</v>
      </c>
      <c r="C176" s="9" t="s">
        <v>101</v>
      </c>
      <c r="D176" s="9" t="s">
        <v>102</v>
      </c>
      <c r="E176" s="396" t="s">
        <v>295</v>
      </c>
      <c r="F176" s="9" t="s">
        <v>197</v>
      </c>
      <c r="G176" s="391"/>
      <c r="H176" s="391">
        <v>228</v>
      </c>
      <c r="I176" s="407"/>
      <c r="J176" s="406">
        <f t="shared" si="2"/>
        <v>667475.33</v>
      </c>
      <c r="K176" s="345"/>
    </row>
    <row r="177" ht="18" customHeight="1" spans="1:11">
      <c r="A177" s="389">
        <v>171</v>
      </c>
      <c r="B177" s="9" t="s">
        <v>296</v>
      </c>
      <c r="C177" s="9" t="s">
        <v>297</v>
      </c>
      <c r="D177" s="9" t="s">
        <v>298</v>
      </c>
      <c r="E177" s="396" t="s">
        <v>299</v>
      </c>
      <c r="F177" s="9" t="s">
        <v>208</v>
      </c>
      <c r="G177" s="391"/>
      <c r="H177" s="391">
        <v>168</v>
      </c>
      <c r="I177" s="407"/>
      <c r="J177" s="406">
        <f t="shared" si="2"/>
        <v>667643.33</v>
      </c>
      <c r="K177" s="345"/>
    </row>
    <row r="178" ht="18" customHeight="1" spans="1:11">
      <c r="A178" s="389">
        <v>172</v>
      </c>
      <c r="B178" s="9" t="s">
        <v>296</v>
      </c>
      <c r="C178" s="9" t="s">
        <v>281</v>
      </c>
      <c r="D178" s="9" t="s">
        <v>282</v>
      </c>
      <c r="E178" s="396" t="s">
        <v>283</v>
      </c>
      <c r="F178" s="9" t="s">
        <v>197</v>
      </c>
      <c r="G178" s="391"/>
      <c r="H178" s="391">
        <v>138</v>
      </c>
      <c r="I178" s="407"/>
      <c r="J178" s="406">
        <f t="shared" si="2"/>
        <v>667781.33</v>
      </c>
      <c r="K178" s="345"/>
    </row>
    <row r="179" ht="36.75" customHeight="1" spans="1:11">
      <c r="A179" s="389">
        <v>173</v>
      </c>
      <c r="B179" s="9" t="s">
        <v>300</v>
      </c>
      <c r="C179" s="9"/>
      <c r="D179" s="409" t="s">
        <v>301</v>
      </c>
      <c r="E179" s="410"/>
      <c r="F179" s="411"/>
      <c r="G179" s="391"/>
      <c r="H179" s="391"/>
      <c r="I179" s="407">
        <v>9000</v>
      </c>
      <c r="J179" s="406">
        <f t="shared" si="2"/>
        <v>658781.33</v>
      </c>
      <c r="K179" s="345"/>
    </row>
    <row r="180" ht="18" customHeight="1" spans="1:11">
      <c r="A180" s="389">
        <v>174</v>
      </c>
      <c r="B180" s="9" t="s">
        <v>302</v>
      </c>
      <c r="C180" s="9"/>
      <c r="D180" s="397" t="s">
        <v>111</v>
      </c>
      <c r="E180" s="398"/>
      <c r="F180" s="399"/>
      <c r="G180" s="391"/>
      <c r="H180" s="391"/>
      <c r="I180" s="407">
        <v>3</v>
      </c>
      <c r="J180" s="406">
        <f t="shared" si="2"/>
        <v>658778.33</v>
      </c>
      <c r="K180" s="345"/>
    </row>
    <row r="181" ht="18" customHeight="1" spans="1:11">
      <c r="A181" s="389">
        <v>175</v>
      </c>
      <c r="B181" s="9" t="s">
        <v>303</v>
      </c>
      <c r="C181" s="9" t="s">
        <v>29</v>
      </c>
      <c r="D181" s="9" t="s">
        <v>30</v>
      </c>
      <c r="E181" s="9" t="s">
        <v>304</v>
      </c>
      <c r="F181" s="9" t="s">
        <v>42</v>
      </c>
      <c r="G181" s="391"/>
      <c r="H181" s="391">
        <v>668</v>
      </c>
      <c r="I181" s="407"/>
      <c r="J181" s="406">
        <f t="shared" si="2"/>
        <v>659446.33</v>
      </c>
      <c r="K181" s="345"/>
    </row>
    <row r="182" ht="18" customHeight="1" spans="1:11">
      <c r="A182" s="389">
        <v>176</v>
      </c>
      <c r="B182" s="9" t="s">
        <v>305</v>
      </c>
      <c r="C182" s="9" t="s">
        <v>297</v>
      </c>
      <c r="D182" s="9" t="s">
        <v>298</v>
      </c>
      <c r="E182" s="396" t="s">
        <v>299</v>
      </c>
      <c r="F182" s="9" t="s">
        <v>306</v>
      </c>
      <c r="G182" s="391"/>
      <c r="H182" s="391">
        <v>188</v>
      </c>
      <c r="I182" s="407"/>
      <c r="J182" s="406">
        <f t="shared" si="2"/>
        <v>659634.33</v>
      </c>
      <c r="K182" s="345"/>
    </row>
    <row r="183" ht="18" customHeight="1" spans="1:11">
      <c r="A183" s="389">
        <v>177</v>
      </c>
      <c r="B183" s="9" t="s">
        <v>305</v>
      </c>
      <c r="C183" s="9" t="s">
        <v>29</v>
      </c>
      <c r="D183" s="9" t="s">
        <v>30</v>
      </c>
      <c r="E183" s="9" t="s">
        <v>307</v>
      </c>
      <c r="F183" s="9" t="s">
        <v>308</v>
      </c>
      <c r="G183" s="391"/>
      <c r="H183" s="391">
        <v>279</v>
      </c>
      <c r="I183" s="407"/>
      <c r="J183" s="406">
        <f t="shared" si="2"/>
        <v>659913.33</v>
      </c>
      <c r="K183" s="345"/>
    </row>
    <row r="184" ht="18" customHeight="1" spans="1:11">
      <c r="A184" s="389">
        <v>178</v>
      </c>
      <c r="B184" s="9" t="s">
        <v>305</v>
      </c>
      <c r="C184" s="9" t="s">
        <v>29</v>
      </c>
      <c r="D184" s="9" t="s">
        <v>30</v>
      </c>
      <c r="E184" s="9" t="s">
        <v>307</v>
      </c>
      <c r="F184" s="9" t="s">
        <v>309</v>
      </c>
      <c r="G184" s="391"/>
      <c r="H184" s="391">
        <v>280</v>
      </c>
      <c r="I184" s="407"/>
      <c r="J184" s="406">
        <f t="shared" si="2"/>
        <v>660193.33</v>
      </c>
      <c r="K184" s="345"/>
    </row>
    <row r="185" ht="18" customHeight="1" spans="1:11">
      <c r="A185" s="389">
        <v>179</v>
      </c>
      <c r="B185" s="9" t="s">
        <v>310</v>
      </c>
      <c r="C185" s="9" t="s">
        <v>297</v>
      </c>
      <c r="D185" s="9" t="s">
        <v>298</v>
      </c>
      <c r="E185" s="9" t="s">
        <v>311</v>
      </c>
      <c r="F185" s="9" t="s">
        <v>208</v>
      </c>
      <c r="G185" s="391"/>
      <c r="H185" s="391">
        <v>98</v>
      </c>
      <c r="I185" s="407"/>
      <c r="J185" s="406">
        <f t="shared" si="2"/>
        <v>660291.33</v>
      </c>
      <c r="K185" s="345"/>
    </row>
    <row r="186" ht="18" customHeight="1" spans="1:11">
      <c r="A186" s="389">
        <v>180</v>
      </c>
      <c r="B186" s="9" t="s">
        <v>310</v>
      </c>
      <c r="C186" s="9" t="s">
        <v>270</v>
      </c>
      <c r="D186" s="9" t="s">
        <v>40</v>
      </c>
      <c r="E186" s="396" t="s">
        <v>279</v>
      </c>
      <c r="F186" s="9" t="s">
        <v>312</v>
      </c>
      <c r="G186" s="391"/>
      <c r="H186" s="391">
        <v>388</v>
      </c>
      <c r="I186" s="407"/>
      <c r="J186" s="406">
        <f t="shared" si="2"/>
        <v>660679.33</v>
      </c>
      <c r="K186" s="345"/>
    </row>
    <row r="187" ht="18" customHeight="1" spans="1:11">
      <c r="A187" s="389">
        <v>181</v>
      </c>
      <c r="B187" s="9" t="s">
        <v>313</v>
      </c>
      <c r="C187" s="9"/>
      <c r="D187" s="397" t="s">
        <v>314</v>
      </c>
      <c r="E187" s="398"/>
      <c r="F187" s="399"/>
      <c r="G187" s="391"/>
      <c r="H187" s="391"/>
      <c r="I187" s="407">
        <v>15000</v>
      </c>
      <c r="J187" s="406">
        <f t="shared" si="2"/>
        <v>645679.33</v>
      </c>
      <c r="K187" s="345"/>
    </row>
    <row r="188" ht="18" customHeight="1" spans="1:11">
      <c r="A188" s="389">
        <v>182</v>
      </c>
      <c r="B188" s="9" t="s">
        <v>315</v>
      </c>
      <c r="C188" s="9" t="s">
        <v>316</v>
      </c>
      <c r="D188" s="9"/>
      <c r="E188" s="9" t="s">
        <v>317</v>
      </c>
      <c r="F188" s="9" t="s">
        <v>100</v>
      </c>
      <c r="G188" s="391"/>
      <c r="H188" s="391">
        <v>111</v>
      </c>
      <c r="I188" s="407"/>
      <c r="J188" s="406">
        <f t="shared" si="2"/>
        <v>645790.33</v>
      </c>
      <c r="K188" s="345"/>
    </row>
    <row r="189" ht="18" customHeight="1" spans="1:11">
      <c r="A189" s="389">
        <v>183</v>
      </c>
      <c r="B189" s="9" t="s">
        <v>315</v>
      </c>
      <c r="C189" s="9" t="s">
        <v>316</v>
      </c>
      <c r="D189" s="9"/>
      <c r="E189" s="9" t="s">
        <v>317</v>
      </c>
      <c r="F189" s="9" t="s">
        <v>100</v>
      </c>
      <c r="G189" s="391"/>
      <c r="H189" s="391">
        <v>111</v>
      </c>
      <c r="I189" s="407"/>
      <c r="J189" s="406">
        <f t="shared" si="2"/>
        <v>645901.33</v>
      </c>
      <c r="K189" s="345"/>
    </row>
    <row r="190" ht="18" customHeight="1" spans="1:11">
      <c r="A190" s="389">
        <v>184</v>
      </c>
      <c r="B190" s="9" t="s">
        <v>315</v>
      </c>
      <c r="C190" s="9" t="s">
        <v>270</v>
      </c>
      <c r="D190" s="9" t="s">
        <v>40</v>
      </c>
      <c r="E190" s="396" t="s">
        <v>318</v>
      </c>
      <c r="F190" s="9" t="s">
        <v>100</v>
      </c>
      <c r="G190" s="391"/>
      <c r="H190" s="391">
        <v>158</v>
      </c>
      <c r="I190" s="407"/>
      <c r="J190" s="406">
        <f t="shared" si="2"/>
        <v>646059.33</v>
      </c>
      <c r="K190" s="345"/>
    </row>
    <row r="191" ht="18" customHeight="1" spans="1:11">
      <c r="A191" s="389">
        <v>185</v>
      </c>
      <c r="B191" s="9" t="s">
        <v>319</v>
      </c>
      <c r="C191" s="9" t="s">
        <v>29</v>
      </c>
      <c r="D191" s="9" t="s">
        <v>30</v>
      </c>
      <c r="E191" s="9" t="s">
        <v>320</v>
      </c>
      <c r="F191" s="9" t="s">
        <v>135</v>
      </c>
      <c r="G191" s="391"/>
      <c r="H191" s="391">
        <v>228</v>
      </c>
      <c r="I191" s="407"/>
      <c r="J191" s="406">
        <f t="shared" si="2"/>
        <v>646287.33</v>
      </c>
      <c r="K191" s="345"/>
    </row>
    <row r="192" ht="18" customHeight="1" spans="1:11">
      <c r="A192" s="389">
        <v>186</v>
      </c>
      <c r="B192" s="9" t="s">
        <v>321</v>
      </c>
      <c r="C192" s="9"/>
      <c r="D192" s="397" t="s">
        <v>111</v>
      </c>
      <c r="E192" s="398"/>
      <c r="F192" s="399"/>
      <c r="G192" s="391"/>
      <c r="H192" s="391"/>
      <c r="I192" s="407">
        <v>3</v>
      </c>
      <c r="J192" s="406">
        <f t="shared" si="2"/>
        <v>646284.33</v>
      </c>
      <c r="K192" s="345"/>
    </row>
    <row r="193" ht="18" customHeight="1" spans="1:11">
      <c r="A193" s="389">
        <v>187</v>
      </c>
      <c r="B193" s="9" t="s">
        <v>322</v>
      </c>
      <c r="C193" s="9" t="s">
        <v>323</v>
      </c>
      <c r="D193" s="9" t="s">
        <v>28</v>
      </c>
      <c r="E193" s="9" t="s">
        <v>324</v>
      </c>
      <c r="F193" s="9" t="s">
        <v>248</v>
      </c>
      <c r="G193" s="391"/>
      <c r="H193" s="391">
        <v>139</v>
      </c>
      <c r="I193" s="407"/>
      <c r="J193" s="406">
        <f t="shared" si="2"/>
        <v>646423.33</v>
      </c>
      <c r="K193" s="345"/>
    </row>
    <row r="194" ht="18" customHeight="1" spans="1:11">
      <c r="A194" s="389">
        <v>188</v>
      </c>
      <c r="B194" s="9" t="s">
        <v>322</v>
      </c>
      <c r="C194" s="9" t="s">
        <v>323</v>
      </c>
      <c r="D194" s="9" t="s">
        <v>28</v>
      </c>
      <c r="E194" s="9" t="s">
        <v>324</v>
      </c>
      <c r="F194" s="9" t="s">
        <v>325</v>
      </c>
      <c r="G194" s="391"/>
      <c r="H194" s="391">
        <v>138</v>
      </c>
      <c r="I194" s="407"/>
      <c r="J194" s="406">
        <f t="shared" si="2"/>
        <v>646561.33</v>
      </c>
      <c r="K194" s="345"/>
    </row>
    <row r="195" ht="18" customHeight="1" spans="1:11">
      <c r="A195" s="389">
        <v>189</v>
      </c>
      <c r="B195" s="9" t="s">
        <v>322</v>
      </c>
      <c r="C195" s="9" t="s">
        <v>39</v>
      </c>
      <c r="D195" s="9" t="s">
        <v>40</v>
      </c>
      <c r="E195" s="9" t="s">
        <v>326</v>
      </c>
      <c r="F195" s="9" t="s">
        <v>327</v>
      </c>
      <c r="G195" s="391"/>
      <c r="H195" s="391">
        <v>120</v>
      </c>
      <c r="I195" s="407"/>
      <c r="J195" s="406">
        <f t="shared" si="2"/>
        <v>646681.33</v>
      </c>
      <c r="K195" s="345"/>
    </row>
    <row r="196" ht="18" customHeight="1" spans="1:11">
      <c r="A196" s="389">
        <v>190</v>
      </c>
      <c r="B196" s="9" t="s">
        <v>328</v>
      </c>
      <c r="C196" s="9" t="s">
        <v>39</v>
      </c>
      <c r="D196" s="9" t="s">
        <v>40</v>
      </c>
      <c r="E196" s="9" t="s">
        <v>326</v>
      </c>
      <c r="F196" s="9" t="s">
        <v>329</v>
      </c>
      <c r="G196" s="391"/>
      <c r="H196" s="391">
        <v>100</v>
      </c>
      <c r="I196" s="407"/>
      <c r="J196" s="406">
        <f t="shared" si="2"/>
        <v>646781.33</v>
      </c>
      <c r="K196" s="345"/>
    </row>
    <row r="197" ht="18" customHeight="1" spans="1:11">
      <c r="A197" s="389">
        <v>191</v>
      </c>
      <c r="B197" s="9" t="s">
        <v>328</v>
      </c>
      <c r="C197" s="9" t="s">
        <v>281</v>
      </c>
      <c r="D197" s="9" t="s">
        <v>282</v>
      </c>
      <c r="E197" s="396" t="s">
        <v>283</v>
      </c>
      <c r="F197" s="9" t="s">
        <v>330</v>
      </c>
      <c r="G197" s="391"/>
      <c r="H197" s="391">
        <v>108</v>
      </c>
      <c r="I197" s="407"/>
      <c r="J197" s="406">
        <f t="shared" si="2"/>
        <v>646889.33</v>
      </c>
      <c r="K197" s="345"/>
    </row>
    <row r="198" ht="26.25" customHeight="1" spans="1:11">
      <c r="A198" s="389">
        <v>192</v>
      </c>
      <c r="B198" s="9" t="s">
        <v>331</v>
      </c>
      <c r="C198" s="9"/>
      <c r="D198" s="409" t="s">
        <v>332</v>
      </c>
      <c r="E198" s="410"/>
      <c r="F198" s="411"/>
      <c r="G198" s="391"/>
      <c r="H198" s="391"/>
      <c r="I198" s="407">
        <v>677</v>
      </c>
      <c r="J198" s="406">
        <f t="shared" si="2"/>
        <v>646212.33</v>
      </c>
      <c r="K198" s="345"/>
    </row>
    <row r="199" ht="18" customHeight="1" spans="1:11">
      <c r="A199" s="389">
        <v>193</v>
      </c>
      <c r="B199" s="9" t="s">
        <v>333</v>
      </c>
      <c r="C199" s="9" t="s">
        <v>39</v>
      </c>
      <c r="D199" s="9" t="s">
        <v>40</v>
      </c>
      <c r="E199" s="9" t="s">
        <v>326</v>
      </c>
      <c r="F199" s="9" t="s">
        <v>291</v>
      </c>
      <c r="G199" s="391"/>
      <c r="H199" s="391">
        <v>108</v>
      </c>
      <c r="I199" s="407"/>
      <c r="J199" s="406">
        <f t="shared" si="2"/>
        <v>646320.33</v>
      </c>
      <c r="K199" s="345"/>
    </row>
    <row r="200" ht="18" customHeight="1" spans="1:11">
      <c r="A200" s="389">
        <v>194</v>
      </c>
      <c r="B200" s="9" t="s">
        <v>333</v>
      </c>
      <c r="C200" s="9" t="s">
        <v>281</v>
      </c>
      <c r="D200" s="9" t="s">
        <v>282</v>
      </c>
      <c r="E200" s="396" t="s">
        <v>283</v>
      </c>
      <c r="F200" s="9" t="s">
        <v>291</v>
      </c>
      <c r="G200" s="391"/>
      <c r="H200" s="391">
        <v>108</v>
      </c>
      <c r="I200" s="407"/>
      <c r="J200" s="406">
        <f t="shared" ref="J200:J229" si="3">J199+G200+H200-I200</f>
        <v>646428.33</v>
      </c>
      <c r="K200" s="345"/>
    </row>
    <row r="201" ht="18" customHeight="1" spans="1:11">
      <c r="A201" s="389">
        <v>195</v>
      </c>
      <c r="B201" s="9" t="s">
        <v>334</v>
      </c>
      <c r="C201" s="9" t="s">
        <v>101</v>
      </c>
      <c r="D201" s="9" t="s">
        <v>102</v>
      </c>
      <c r="E201" s="396" t="s">
        <v>335</v>
      </c>
      <c r="F201" s="9" t="s">
        <v>336</v>
      </c>
      <c r="G201" s="391"/>
      <c r="H201" s="391">
        <v>97</v>
      </c>
      <c r="I201" s="407"/>
      <c r="J201" s="406">
        <f t="shared" si="3"/>
        <v>646525.33</v>
      </c>
      <c r="K201" s="345"/>
    </row>
    <row r="202" ht="18" customHeight="1" spans="1:11">
      <c r="A202" s="389">
        <v>196</v>
      </c>
      <c r="B202" s="9" t="s">
        <v>334</v>
      </c>
      <c r="C202" s="9" t="s">
        <v>281</v>
      </c>
      <c r="D202" s="9" t="s">
        <v>282</v>
      </c>
      <c r="E202" s="396" t="s">
        <v>283</v>
      </c>
      <c r="F202" s="9" t="s">
        <v>337</v>
      </c>
      <c r="G202" s="391"/>
      <c r="H202" s="391">
        <v>111</v>
      </c>
      <c r="I202" s="407"/>
      <c r="J202" s="406">
        <f t="shared" si="3"/>
        <v>646636.33</v>
      </c>
      <c r="K202" s="345"/>
    </row>
    <row r="203" ht="18" customHeight="1" spans="1:11">
      <c r="A203" s="389">
        <v>197</v>
      </c>
      <c r="B203" s="9" t="s">
        <v>338</v>
      </c>
      <c r="C203" s="9"/>
      <c r="D203" s="397" t="s">
        <v>111</v>
      </c>
      <c r="E203" s="398"/>
      <c r="F203" s="399"/>
      <c r="G203" s="391"/>
      <c r="H203" s="391"/>
      <c r="I203" s="407">
        <v>3</v>
      </c>
      <c r="J203" s="406">
        <f t="shared" si="3"/>
        <v>646633.33</v>
      </c>
      <c r="K203" s="345"/>
    </row>
    <row r="204" ht="18" customHeight="1" spans="1:11">
      <c r="A204" s="389">
        <v>198</v>
      </c>
      <c r="B204" s="9" t="s">
        <v>339</v>
      </c>
      <c r="C204" s="9"/>
      <c r="D204" s="397" t="s">
        <v>340</v>
      </c>
      <c r="E204" s="398"/>
      <c r="F204" s="399"/>
      <c r="G204" s="391"/>
      <c r="H204" s="391"/>
      <c r="I204" s="407">
        <v>1000</v>
      </c>
      <c r="J204" s="406">
        <f t="shared" si="3"/>
        <v>645633.33</v>
      </c>
      <c r="K204" s="345"/>
    </row>
    <row r="205" ht="18" customHeight="1" spans="1:11">
      <c r="A205" s="389">
        <v>199</v>
      </c>
      <c r="B205" s="9" t="s">
        <v>341</v>
      </c>
      <c r="C205" s="9" t="s">
        <v>124</v>
      </c>
      <c r="D205" s="9" t="s">
        <v>71</v>
      </c>
      <c r="E205" s="396" t="s">
        <v>342</v>
      </c>
      <c r="F205" s="9" t="s">
        <v>343</v>
      </c>
      <c r="G205" s="391"/>
      <c r="H205" s="391">
        <v>500</v>
      </c>
      <c r="I205" s="407"/>
      <c r="J205" s="406">
        <f t="shared" si="3"/>
        <v>646133.33</v>
      </c>
      <c r="K205" s="345"/>
    </row>
    <row r="206" ht="18" customHeight="1" spans="1:11">
      <c r="A206" s="389">
        <v>200</v>
      </c>
      <c r="B206" s="9" t="s">
        <v>341</v>
      </c>
      <c r="C206" s="9" t="s">
        <v>133</v>
      </c>
      <c r="D206" s="9" t="s">
        <v>16</v>
      </c>
      <c r="E206" s="9" t="s">
        <v>326</v>
      </c>
      <c r="F206" s="9" t="s">
        <v>325</v>
      </c>
      <c r="G206" s="391"/>
      <c r="H206" s="391">
        <v>99</v>
      </c>
      <c r="I206" s="407"/>
      <c r="J206" s="406">
        <f t="shared" si="3"/>
        <v>646232.33</v>
      </c>
      <c r="K206" s="345"/>
    </row>
    <row r="207" ht="18" customHeight="1" spans="1:11">
      <c r="A207" s="389">
        <v>201</v>
      </c>
      <c r="B207" s="9" t="s">
        <v>344</v>
      </c>
      <c r="C207" s="9" t="s">
        <v>124</v>
      </c>
      <c r="D207" s="9" t="s">
        <v>71</v>
      </c>
      <c r="E207" s="396" t="s">
        <v>345</v>
      </c>
      <c r="F207" s="9" t="s">
        <v>346</v>
      </c>
      <c r="G207" s="391"/>
      <c r="H207" s="391">
        <v>444.44</v>
      </c>
      <c r="I207" s="407"/>
      <c r="J207" s="406">
        <f t="shared" si="3"/>
        <v>646676.77</v>
      </c>
      <c r="K207" s="345"/>
    </row>
    <row r="208" ht="18" customHeight="1" spans="1:11">
      <c r="A208" s="389">
        <v>202</v>
      </c>
      <c r="B208" s="9" t="s">
        <v>344</v>
      </c>
      <c r="C208" s="9" t="s">
        <v>101</v>
      </c>
      <c r="D208" s="9" t="s">
        <v>102</v>
      </c>
      <c r="E208" s="396" t="s">
        <v>347</v>
      </c>
      <c r="F208" s="9" t="s">
        <v>309</v>
      </c>
      <c r="G208" s="391"/>
      <c r="H208" s="391">
        <v>158</v>
      </c>
      <c r="I208" s="407"/>
      <c r="J208" s="406">
        <f t="shared" si="3"/>
        <v>646834.77</v>
      </c>
      <c r="K208" s="345"/>
    </row>
    <row r="209" ht="18" customHeight="1" spans="1:11">
      <c r="A209" s="389">
        <v>203</v>
      </c>
      <c r="B209" s="9" t="s">
        <v>348</v>
      </c>
      <c r="C209" s="9" t="s">
        <v>349</v>
      </c>
      <c r="D209" s="9" t="s">
        <v>350</v>
      </c>
      <c r="E209" s="396" t="s">
        <v>351</v>
      </c>
      <c r="F209" s="9" t="s">
        <v>346</v>
      </c>
      <c r="G209" s="391"/>
      <c r="H209" s="391">
        <v>268</v>
      </c>
      <c r="I209" s="407"/>
      <c r="J209" s="406">
        <f t="shared" si="3"/>
        <v>647102.77</v>
      </c>
      <c r="K209" s="345"/>
    </row>
    <row r="210" ht="18" customHeight="1" spans="1:11">
      <c r="A210" s="389">
        <v>204</v>
      </c>
      <c r="B210" s="9" t="s">
        <v>348</v>
      </c>
      <c r="C210" s="9" t="s">
        <v>101</v>
      </c>
      <c r="D210" s="9" t="s">
        <v>102</v>
      </c>
      <c r="E210" s="396" t="s">
        <v>347</v>
      </c>
      <c r="F210" s="9" t="s">
        <v>352</v>
      </c>
      <c r="G210" s="391"/>
      <c r="H210" s="391">
        <v>138</v>
      </c>
      <c r="I210" s="407"/>
      <c r="J210" s="406">
        <f t="shared" si="3"/>
        <v>647240.77</v>
      </c>
      <c r="K210" s="345"/>
    </row>
    <row r="211" ht="18" customHeight="1" spans="1:11">
      <c r="A211" s="389">
        <v>205</v>
      </c>
      <c r="B211" s="9" t="s">
        <v>353</v>
      </c>
      <c r="C211" s="9"/>
      <c r="D211" s="397" t="s">
        <v>111</v>
      </c>
      <c r="E211" s="398"/>
      <c r="F211" s="399"/>
      <c r="G211" s="391"/>
      <c r="H211" s="391"/>
      <c r="I211" s="407">
        <v>3</v>
      </c>
      <c r="J211" s="406">
        <f t="shared" si="3"/>
        <v>647237.77</v>
      </c>
      <c r="K211" s="345"/>
    </row>
    <row r="212" ht="18" customHeight="1" spans="1:11">
      <c r="A212" s="389">
        <v>206</v>
      </c>
      <c r="B212" s="9" t="s">
        <v>354</v>
      </c>
      <c r="C212" s="9" t="s">
        <v>349</v>
      </c>
      <c r="D212" s="9" t="s">
        <v>350</v>
      </c>
      <c r="E212" s="396" t="s">
        <v>355</v>
      </c>
      <c r="F212" s="9" t="s">
        <v>135</v>
      </c>
      <c r="G212" s="391"/>
      <c r="H212" s="391">
        <v>188</v>
      </c>
      <c r="I212" s="407"/>
      <c r="J212" s="406">
        <f t="shared" si="3"/>
        <v>647425.77</v>
      </c>
      <c r="K212" s="345"/>
    </row>
    <row r="213" ht="18" customHeight="1" spans="1:11">
      <c r="A213" s="389">
        <v>207</v>
      </c>
      <c r="B213" s="9" t="s">
        <v>354</v>
      </c>
      <c r="C213" s="9" t="s">
        <v>101</v>
      </c>
      <c r="D213" s="9" t="s">
        <v>102</v>
      </c>
      <c r="E213" s="396" t="s">
        <v>356</v>
      </c>
      <c r="F213" s="9" t="s">
        <v>308</v>
      </c>
      <c r="G213" s="391"/>
      <c r="H213" s="391">
        <v>118</v>
      </c>
      <c r="I213" s="407"/>
      <c r="J213" s="406">
        <f t="shared" si="3"/>
        <v>647543.77</v>
      </c>
      <c r="K213" s="345"/>
    </row>
    <row r="214" ht="18" customHeight="1" spans="1:11">
      <c r="A214" s="389">
        <v>208</v>
      </c>
      <c r="B214" s="9" t="s">
        <v>357</v>
      </c>
      <c r="C214" s="9" t="s">
        <v>281</v>
      </c>
      <c r="D214" s="9" t="s">
        <v>282</v>
      </c>
      <c r="E214" s="396" t="s">
        <v>283</v>
      </c>
      <c r="F214" s="9" t="s">
        <v>208</v>
      </c>
      <c r="G214" s="391"/>
      <c r="H214" s="391">
        <v>108</v>
      </c>
      <c r="I214" s="407"/>
      <c r="J214" s="406">
        <f t="shared" si="3"/>
        <v>647651.77</v>
      </c>
      <c r="K214" s="345"/>
    </row>
    <row r="215" ht="18" customHeight="1" spans="1:11">
      <c r="A215" s="389">
        <v>209</v>
      </c>
      <c r="B215" s="9" t="s">
        <v>357</v>
      </c>
      <c r="C215" s="9" t="s">
        <v>281</v>
      </c>
      <c r="D215" s="9" t="s">
        <v>282</v>
      </c>
      <c r="E215" s="396" t="s">
        <v>283</v>
      </c>
      <c r="F215" s="9" t="s">
        <v>179</v>
      </c>
      <c r="G215" s="391"/>
      <c r="H215" s="391">
        <v>118</v>
      </c>
      <c r="I215" s="407"/>
      <c r="J215" s="406">
        <f t="shared" si="3"/>
        <v>647769.77</v>
      </c>
      <c r="K215" s="345"/>
    </row>
    <row r="216" ht="18" customHeight="1" spans="1:11">
      <c r="A216" s="389">
        <v>210</v>
      </c>
      <c r="B216" s="9" t="s">
        <v>358</v>
      </c>
      <c r="C216" s="9" t="s">
        <v>29</v>
      </c>
      <c r="D216" s="9" t="s">
        <v>30</v>
      </c>
      <c r="E216" s="396" t="s">
        <v>355</v>
      </c>
      <c r="F216" s="9" t="s">
        <v>258</v>
      </c>
      <c r="G216" s="391"/>
      <c r="H216" s="391">
        <v>78</v>
      </c>
      <c r="I216" s="407"/>
      <c r="J216" s="406">
        <f t="shared" si="3"/>
        <v>647847.77</v>
      </c>
      <c r="K216" s="345"/>
    </row>
    <row r="217" ht="18" customHeight="1" spans="1:11">
      <c r="A217" s="389">
        <v>211</v>
      </c>
      <c r="B217" s="9" t="s">
        <v>358</v>
      </c>
      <c r="C217" s="9" t="s">
        <v>281</v>
      </c>
      <c r="D217" s="9" t="s">
        <v>282</v>
      </c>
      <c r="E217" s="396" t="s">
        <v>283</v>
      </c>
      <c r="F217" s="9" t="s">
        <v>42</v>
      </c>
      <c r="G217" s="391"/>
      <c r="H217" s="391">
        <v>168</v>
      </c>
      <c r="I217" s="407"/>
      <c r="J217" s="406">
        <f t="shared" si="3"/>
        <v>648015.77</v>
      </c>
      <c r="K217" s="345"/>
    </row>
    <row r="218" ht="18" customHeight="1" spans="1:11">
      <c r="A218" s="389">
        <v>212</v>
      </c>
      <c r="B218" s="9" t="s">
        <v>358</v>
      </c>
      <c r="C218" s="9" t="s">
        <v>127</v>
      </c>
      <c r="D218" s="9" t="s">
        <v>60</v>
      </c>
      <c r="E218" s="396" t="s">
        <v>359</v>
      </c>
      <c r="F218" s="9" t="s">
        <v>360</v>
      </c>
      <c r="G218" s="391"/>
      <c r="H218" s="391">
        <v>88</v>
      </c>
      <c r="I218" s="407"/>
      <c r="J218" s="406">
        <f t="shared" si="3"/>
        <v>648103.77</v>
      </c>
      <c r="K218" s="345"/>
    </row>
    <row r="219" ht="18" customHeight="1" spans="1:11">
      <c r="A219" s="389">
        <v>213</v>
      </c>
      <c r="B219" s="9" t="s">
        <v>358</v>
      </c>
      <c r="C219" s="9" t="s">
        <v>127</v>
      </c>
      <c r="D219" s="9" t="s">
        <v>60</v>
      </c>
      <c r="E219" s="396" t="s">
        <v>359</v>
      </c>
      <c r="F219" s="9" t="s">
        <v>361</v>
      </c>
      <c r="G219" s="391"/>
      <c r="H219" s="391">
        <v>100</v>
      </c>
      <c r="I219" s="407"/>
      <c r="J219" s="406">
        <f t="shared" si="3"/>
        <v>648203.77</v>
      </c>
      <c r="K219" s="345"/>
    </row>
    <row r="220" ht="18" customHeight="1" spans="1:11">
      <c r="A220" s="389">
        <v>214</v>
      </c>
      <c r="B220" s="9" t="s">
        <v>362</v>
      </c>
      <c r="C220" s="9" t="s">
        <v>39</v>
      </c>
      <c r="D220" s="9" t="s">
        <v>40</v>
      </c>
      <c r="E220" s="396" t="s">
        <v>351</v>
      </c>
      <c r="F220" s="9" t="s">
        <v>363</v>
      </c>
      <c r="G220" s="391"/>
      <c r="H220" s="391">
        <v>118</v>
      </c>
      <c r="I220" s="407"/>
      <c r="J220" s="406">
        <f t="shared" si="3"/>
        <v>648321.77</v>
      </c>
      <c r="K220" s="345"/>
    </row>
    <row r="221" ht="18" customHeight="1" spans="1:11">
      <c r="A221" s="389">
        <v>215</v>
      </c>
      <c r="B221" s="9" t="s">
        <v>362</v>
      </c>
      <c r="C221" s="9" t="s">
        <v>281</v>
      </c>
      <c r="D221" s="9" t="s">
        <v>282</v>
      </c>
      <c r="E221" s="396" t="s">
        <v>283</v>
      </c>
      <c r="F221" s="9" t="s">
        <v>363</v>
      </c>
      <c r="G221" s="391"/>
      <c r="H221" s="391">
        <v>118</v>
      </c>
      <c r="I221" s="407"/>
      <c r="J221" s="406">
        <f t="shared" si="3"/>
        <v>648439.77</v>
      </c>
      <c r="K221" s="345"/>
    </row>
    <row r="222" ht="18" customHeight="1" spans="1:11">
      <c r="A222" s="389">
        <v>216</v>
      </c>
      <c r="B222" s="9" t="s">
        <v>364</v>
      </c>
      <c r="C222" s="9" t="s">
        <v>127</v>
      </c>
      <c r="D222" s="9" t="s">
        <v>60</v>
      </c>
      <c r="E222" s="396" t="s">
        <v>99</v>
      </c>
      <c r="F222" s="9" t="s">
        <v>42</v>
      </c>
      <c r="G222" s="391"/>
      <c r="H222" s="391">
        <v>113</v>
      </c>
      <c r="I222" s="407"/>
      <c r="J222" s="406">
        <f t="shared" si="3"/>
        <v>648552.77</v>
      </c>
      <c r="K222" s="345"/>
    </row>
    <row r="223" ht="18" customHeight="1" spans="1:11">
      <c r="A223" s="389">
        <v>217</v>
      </c>
      <c r="B223" s="9" t="s">
        <v>364</v>
      </c>
      <c r="C223" s="9" t="s">
        <v>281</v>
      </c>
      <c r="D223" s="9" t="s">
        <v>282</v>
      </c>
      <c r="E223" s="396" t="s">
        <v>283</v>
      </c>
      <c r="F223" s="9" t="s">
        <v>365</v>
      </c>
      <c r="G223" s="391"/>
      <c r="H223" s="391">
        <v>139</v>
      </c>
      <c r="I223" s="407"/>
      <c r="J223" s="406">
        <f t="shared" si="3"/>
        <v>648691.77</v>
      </c>
      <c r="K223" s="345"/>
    </row>
    <row r="224" ht="18" customHeight="1" spans="1:11">
      <c r="A224" s="389">
        <v>218</v>
      </c>
      <c r="B224" s="9" t="s">
        <v>366</v>
      </c>
      <c r="C224" s="9"/>
      <c r="D224" s="397" t="s">
        <v>111</v>
      </c>
      <c r="E224" s="398"/>
      <c r="F224" s="399"/>
      <c r="G224" s="391"/>
      <c r="H224" s="391"/>
      <c r="I224" s="407">
        <v>3</v>
      </c>
      <c r="J224" s="406">
        <f t="shared" si="3"/>
        <v>648688.77</v>
      </c>
      <c r="K224" s="345"/>
    </row>
    <row r="225" ht="18" customHeight="1" spans="1:11">
      <c r="A225" s="389">
        <v>219</v>
      </c>
      <c r="B225" s="9" t="s">
        <v>367</v>
      </c>
      <c r="C225" s="9" t="s">
        <v>25</v>
      </c>
      <c r="D225" s="9" t="s">
        <v>26</v>
      </c>
      <c r="E225" s="396" t="s">
        <v>368</v>
      </c>
      <c r="F225" s="9" t="s">
        <v>369</v>
      </c>
      <c r="G225" s="391"/>
      <c r="H225" s="391">
        <v>150</v>
      </c>
      <c r="I225" s="407"/>
      <c r="J225" s="406">
        <f t="shared" si="3"/>
        <v>648838.77</v>
      </c>
      <c r="K225" s="345"/>
    </row>
    <row r="226" ht="18" customHeight="1" spans="1:11">
      <c r="A226" s="389">
        <v>220</v>
      </c>
      <c r="B226" s="9" t="s">
        <v>367</v>
      </c>
      <c r="C226" s="9" t="s">
        <v>25</v>
      </c>
      <c r="D226" s="9" t="s">
        <v>26</v>
      </c>
      <c r="E226" s="396" t="s">
        <v>368</v>
      </c>
      <c r="F226" s="9" t="s">
        <v>291</v>
      </c>
      <c r="G226" s="391"/>
      <c r="H226" s="391">
        <v>120</v>
      </c>
      <c r="I226" s="407"/>
      <c r="J226" s="406">
        <f t="shared" si="3"/>
        <v>648958.77</v>
      </c>
      <c r="K226" s="345"/>
    </row>
    <row r="227" ht="18" customHeight="1" spans="1:11">
      <c r="A227" s="389">
        <v>221</v>
      </c>
      <c r="B227" s="9" t="s">
        <v>367</v>
      </c>
      <c r="C227" s="9" t="s">
        <v>25</v>
      </c>
      <c r="D227" s="9" t="s">
        <v>26</v>
      </c>
      <c r="E227" s="396" t="s">
        <v>368</v>
      </c>
      <c r="F227" s="9" t="s">
        <v>370</v>
      </c>
      <c r="G227" s="391"/>
      <c r="H227" s="391">
        <v>120</v>
      </c>
      <c r="I227" s="407"/>
      <c r="J227" s="406">
        <f t="shared" si="3"/>
        <v>649078.77</v>
      </c>
      <c r="K227" s="345"/>
    </row>
    <row r="228" ht="18" customHeight="1" spans="1:11">
      <c r="A228" s="389">
        <v>222</v>
      </c>
      <c r="B228" s="9" t="s">
        <v>371</v>
      </c>
      <c r="C228" s="9" t="s">
        <v>161</v>
      </c>
      <c r="D228" s="9" t="s">
        <v>16</v>
      </c>
      <c r="E228" s="396" t="s">
        <v>372</v>
      </c>
      <c r="F228" s="9" t="s">
        <v>327</v>
      </c>
      <c r="G228" s="391"/>
      <c r="H228" s="391">
        <v>208</v>
      </c>
      <c r="I228" s="407"/>
      <c r="J228" s="406">
        <f t="shared" si="3"/>
        <v>649286.77</v>
      </c>
      <c r="K228" s="345"/>
    </row>
    <row r="229" ht="18" customHeight="1" spans="1:11">
      <c r="A229" s="389">
        <v>223</v>
      </c>
      <c r="B229" s="9" t="s">
        <v>371</v>
      </c>
      <c r="C229" s="9" t="s">
        <v>373</v>
      </c>
      <c r="D229" s="9" t="s">
        <v>374</v>
      </c>
      <c r="E229" s="396" t="s">
        <v>375</v>
      </c>
      <c r="F229" s="9" t="s">
        <v>219</v>
      </c>
      <c r="G229" s="391"/>
      <c r="H229" s="391">
        <v>328</v>
      </c>
      <c r="I229" s="407"/>
      <c r="J229" s="406">
        <f t="shared" si="3"/>
        <v>649614.77</v>
      </c>
      <c r="K229" s="345"/>
    </row>
    <row r="230" ht="18" customHeight="1" spans="1:11">
      <c r="A230" s="389">
        <v>224</v>
      </c>
      <c r="B230" s="9" t="s">
        <v>371</v>
      </c>
      <c r="C230" s="9" t="s">
        <v>25</v>
      </c>
      <c r="D230" s="9" t="s">
        <v>26</v>
      </c>
      <c r="E230" s="396" t="s">
        <v>368</v>
      </c>
      <c r="F230" s="9" t="s">
        <v>376</v>
      </c>
      <c r="G230" s="391"/>
      <c r="H230" s="391">
        <v>158</v>
      </c>
      <c r="I230" s="407"/>
      <c r="J230" s="406"/>
      <c r="K230" s="345"/>
    </row>
    <row r="231" ht="18" customHeight="1" spans="1:11">
      <c r="A231" s="389">
        <v>225</v>
      </c>
      <c r="B231" s="9" t="s">
        <v>377</v>
      </c>
      <c r="C231" s="9"/>
      <c r="D231" s="397" t="s">
        <v>378</v>
      </c>
      <c r="E231" s="398"/>
      <c r="F231" s="399"/>
      <c r="G231" s="391"/>
      <c r="H231" s="391"/>
      <c r="I231" s="407">
        <v>2000</v>
      </c>
      <c r="J231" s="406">
        <f>J229+G231+H231-I231</f>
        <v>647614.77</v>
      </c>
      <c r="K231" s="345"/>
    </row>
    <row r="232" ht="52.5" customHeight="1" spans="1:11">
      <c r="A232" s="416"/>
      <c r="B232" s="417"/>
      <c r="C232" s="418"/>
      <c r="D232" s="419"/>
      <c r="E232" s="420" t="s">
        <v>379</v>
      </c>
      <c r="F232" s="420" t="s">
        <v>13</v>
      </c>
      <c r="G232" s="421" t="s">
        <v>9</v>
      </c>
      <c r="H232" s="422" t="s">
        <v>10</v>
      </c>
      <c r="I232" s="502" t="s">
        <v>11</v>
      </c>
      <c r="J232" s="503" t="s">
        <v>12</v>
      </c>
      <c r="K232" s="345"/>
    </row>
    <row r="233" ht="30" customHeight="1" spans="1:11">
      <c r="A233" s="423"/>
      <c r="B233" s="424"/>
      <c r="C233" s="425"/>
      <c r="D233" s="426" t="s">
        <v>380</v>
      </c>
      <c r="E233" s="427">
        <f>F255+I255</f>
        <v>10596.1</v>
      </c>
      <c r="F233" s="428">
        <v>625817.45</v>
      </c>
      <c r="G233" s="429">
        <f>SUM(G7:G232)</f>
        <v>193353.88</v>
      </c>
      <c r="H233" s="430">
        <f>SUM(H7:H232)</f>
        <v>23050.44</v>
      </c>
      <c r="I233" s="504">
        <f>SUM(I7:I232)</f>
        <v>194449</v>
      </c>
      <c r="J233" s="505">
        <f>F233+G233+H233-I233</f>
        <v>647772.77</v>
      </c>
      <c r="K233" s="345"/>
    </row>
    <row r="234" ht="30" customHeight="1" spans="1:11">
      <c r="A234" s="431"/>
      <c r="B234" s="432"/>
      <c r="C234" s="433" t="s">
        <v>381</v>
      </c>
      <c r="D234" s="434"/>
      <c r="E234" s="435"/>
      <c r="F234" s="436" t="s">
        <v>382</v>
      </c>
      <c r="G234" s="437"/>
      <c r="H234" s="437"/>
      <c r="I234" s="506"/>
      <c r="J234" s="507">
        <f>E233+F233+G233+H233-I233</f>
        <v>658368.87</v>
      </c>
      <c r="K234" s="345"/>
    </row>
    <row r="235" ht="30" customHeight="1" spans="1:11">
      <c r="A235" s="438"/>
      <c r="B235" s="439"/>
      <c r="C235" s="440"/>
      <c r="D235" s="441"/>
      <c r="E235" s="442"/>
      <c r="F235" s="443" t="s">
        <v>383</v>
      </c>
      <c r="G235" s="444"/>
      <c r="H235" s="444"/>
      <c r="I235" s="508"/>
      <c r="J235" s="509">
        <f>求助者善款发放安排!I30</f>
        <v>25000</v>
      </c>
      <c r="K235" s="345"/>
    </row>
    <row r="236" ht="30" customHeight="1" spans="1:11">
      <c r="A236" s="438"/>
      <c r="B236" s="439"/>
      <c r="C236" s="440"/>
      <c r="D236" s="441"/>
      <c r="E236" s="442"/>
      <c r="F236" s="443" t="s">
        <v>384</v>
      </c>
      <c r="G236" s="444"/>
      <c r="H236" s="444"/>
      <c r="I236" s="508"/>
      <c r="J236" s="509">
        <f>理事会基金!D64</f>
        <v>5958</v>
      </c>
      <c r="K236" s="345"/>
    </row>
    <row r="237" ht="35.25" customHeight="1" spans="1:11">
      <c r="A237" s="445"/>
      <c r="B237" s="446"/>
      <c r="C237" s="447"/>
      <c r="D237" s="448"/>
      <c r="E237" s="449"/>
      <c r="F237" s="450" t="s">
        <v>385</v>
      </c>
      <c r="G237" s="451"/>
      <c r="H237" s="451"/>
      <c r="I237" s="510"/>
      <c r="J237" s="511">
        <f>SUM(J234:J236)</f>
        <v>689326.87</v>
      </c>
      <c r="K237" s="345"/>
    </row>
    <row r="238" ht="30" customHeight="1" spans="1:11">
      <c r="A238" s="452"/>
      <c r="B238" s="453"/>
      <c r="C238" s="454" t="s">
        <v>386</v>
      </c>
      <c r="D238" s="455"/>
      <c r="E238" s="454" t="s">
        <v>387</v>
      </c>
      <c r="F238" s="455"/>
      <c r="G238" s="456" t="s">
        <v>388</v>
      </c>
      <c r="H238" s="457"/>
      <c r="I238" s="512" t="s">
        <v>389</v>
      </c>
      <c r="J238" s="513">
        <f>公帐收支明细!F38</f>
        <v>49948.89</v>
      </c>
      <c r="K238" s="345"/>
    </row>
    <row r="239" ht="30" customHeight="1" spans="1:11">
      <c r="A239" s="458"/>
      <c r="B239" s="459"/>
      <c r="C239" s="460"/>
      <c r="D239" s="461"/>
      <c r="E239" s="460"/>
      <c r="F239" s="461"/>
      <c r="G239" s="462" t="s">
        <v>390</v>
      </c>
      <c r="H239" s="463"/>
      <c r="I239" s="514" t="s">
        <v>391</v>
      </c>
      <c r="J239" s="515">
        <v>576574.47</v>
      </c>
      <c r="K239" s="345"/>
    </row>
    <row r="240" ht="30" customHeight="1" spans="1:11">
      <c r="A240" s="464"/>
      <c r="B240" s="465"/>
      <c r="C240" s="466"/>
      <c r="D240" s="467"/>
      <c r="E240" s="466"/>
      <c r="F240" s="467"/>
      <c r="G240" s="468"/>
      <c r="H240" s="469"/>
      <c r="I240" s="516" t="s">
        <v>389</v>
      </c>
      <c r="J240" s="517">
        <f>J237-J238-J239</f>
        <v>62803.5099999999</v>
      </c>
      <c r="K240" s="345"/>
    </row>
    <row r="241" ht="20.25" customHeight="1" spans="1:11">
      <c r="A241" s="470"/>
      <c r="B241" s="471" t="s">
        <v>392</v>
      </c>
      <c r="C241" s="471"/>
      <c r="D241" s="471"/>
      <c r="E241" s="471"/>
      <c r="F241" s="471"/>
      <c r="G241" s="471"/>
      <c r="H241" s="471"/>
      <c r="I241" s="471"/>
      <c r="J241" s="471"/>
      <c r="K241" s="471"/>
    </row>
    <row r="242" ht="21" customHeight="1" spans="1:11">
      <c r="A242" s="470"/>
      <c r="B242" s="472" t="s">
        <v>393</v>
      </c>
      <c r="C242" s="472"/>
      <c r="D242" s="472"/>
      <c r="E242" s="472"/>
      <c r="F242" s="472"/>
      <c r="G242" s="472"/>
      <c r="H242" s="472"/>
      <c r="I242" s="472"/>
      <c r="J242" s="518"/>
      <c r="K242" s="345"/>
    </row>
    <row r="243" ht="21" customHeight="1" spans="1:11">
      <c r="A243" s="470"/>
      <c r="B243" s="472"/>
      <c r="C243" s="472"/>
      <c r="D243" s="472"/>
      <c r="E243" s="472"/>
      <c r="F243" s="472"/>
      <c r="G243" s="472"/>
      <c r="H243" s="472"/>
      <c r="I243" s="472"/>
      <c r="J243" s="518"/>
      <c r="K243" s="345"/>
    </row>
    <row r="244" ht="15" customHeight="1" spans="1:11">
      <c r="A244" s="470"/>
      <c r="B244" s="473"/>
      <c r="C244" s="473"/>
      <c r="D244" s="473"/>
      <c r="E244" s="473"/>
      <c r="F244" s="473"/>
      <c r="G244" s="473"/>
      <c r="H244" s="473"/>
      <c r="I244" s="473"/>
      <c r="J244" s="519"/>
      <c r="K244" s="345"/>
    </row>
    <row r="245" ht="16.5" customHeight="1" spans="1:11">
      <c r="A245" s="470"/>
      <c r="B245" s="473"/>
      <c r="C245" s="474"/>
      <c r="D245" s="474"/>
      <c r="E245" s="474"/>
      <c r="F245" s="473"/>
      <c r="G245" s="474"/>
      <c r="H245" s="473"/>
      <c r="I245" s="473"/>
      <c r="J245" s="519"/>
      <c r="K245" s="345"/>
    </row>
    <row r="246" ht="30" customHeight="1" spans="1:11">
      <c r="A246" s="475" t="s">
        <v>394</v>
      </c>
      <c r="B246" s="476"/>
      <c r="C246" s="476"/>
      <c r="D246" s="476"/>
      <c r="E246" s="476"/>
      <c r="F246" s="476"/>
      <c r="G246" s="477" t="s">
        <v>395</v>
      </c>
      <c r="H246" s="477"/>
      <c r="I246" s="477"/>
      <c r="J246" s="519"/>
      <c r="K246" s="345"/>
    </row>
    <row r="247" ht="23.1" customHeight="1" spans="1:11">
      <c r="A247" s="478" t="s">
        <v>396</v>
      </c>
      <c r="B247" s="479" t="s">
        <v>397</v>
      </c>
      <c r="C247" s="479" t="s">
        <v>398</v>
      </c>
      <c r="D247" s="479" t="s">
        <v>399</v>
      </c>
      <c r="E247" s="479"/>
      <c r="F247" s="480">
        <v>88.02</v>
      </c>
      <c r="G247" s="481" t="s">
        <v>400</v>
      </c>
      <c r="H247" s="482" t="s">
        <v>401</v>
      </c>
      <c r="I247" s="520">
        <v>3976.05</v>
      </c>
      <c r="J247" s="345"/>
      <c r="K247" s="345"/>
    </row>
    <row r="248" ht="23.1" customHeight="1" spans="1:11">
      <c r="A248" s="483"/>
      <c r="B248" s="484" t="s">
        <v>397</v>
      </c>
      <c r="C248" s="484" t="s">
        <v>402</v>
      </c>
      <c r="D248" s="484" t="s">
        <v>399</v>
      </c>
      <c r="E248" s="484"/>
      <c r="F248" s="485"/>
      <c r="G248" s="486"/>
      <c r="H248" s="482" t="s">
        <v>256</v>
      </c>
      <c r="I248" s="521">
        <v>2717.66</v>
      </c>
      <c r="J248" s="345"/>
      <c r="K248" s="345"/>
    </row>
    <row r="249" ht="23.1" customHeight="1" spans="1:11">
      <c r="A249" s="483"/>
      <c r="B249" s="484" t="s">
        <v>403</v>
      </c>
      <c r="C249" s="484" t="s">
        <v>398</v>
      </c>
      <c r="D249" s="484" t="s">
        <v>404</v>
      </c>
      <c r="E249" s="484"/>
      <c r="F249" s="485">
        <v>83.94</v>
      </c>
      <c r="G249" s="486"/>
      <c r="H249" s="482" t="s">
        <v>256</v>
      </c>
      <c r="I249" s="521">
        <v>1811.78</v>
      </c>
      <c r="J249" s="345"/>
      <c r="K249" s="345"/>
    </row>
    <row r="250" ht="23.1" customHeight="1" spans="1:11">
      <c r="A250" s="483"/>
      <c r="B250" s="484" t="s">
        <v>403</v>
      </c>
      <c r="C250" s="484" t="s">
        <v>402</v>
      </c>
      <c r="D250" s="484" t="s">
        <v>404</v>
      </c>
      <c r="E250" s="484"/>
      <c r="F250" s="485"/>
      <c r="G250" s="486"/>
      <c r="H250" s="482" t="s">
        <v>256</v>
      </c>
      <c r="I250" s="521">
        <v>1811.78</v>
      </c>
      <c r="J250" s="345"/>
      <c r="K250" s="345"/>
    </row>
    <row r="251" ht="23.1" customHeight="1" spans="1:11">
      <c r="A251" s="483"/>
      <c r="B251" s="484" t="s">
        <v>405</v>
      </c>
      <c r="C251" s="484" t="s">
        <v>398</v>
      </c>
      <c r="D251" s="484" t="s">
        <v>406</v>
      </c>
      <c r="E251" s="484"/>
      <c r="F251" s="485">
        <v>59.44</v>
      </c>
      <c r="G251" s="486"/>
      <c r="H251" s="487"/>
      <c r="I251" s="521"/>
      <c r="J251" s="522"/>
      <c r="K251" s="345"/>
    </row>
    <row r="252" ht="23.1" customHeight="1" spans="1:11">
      <c r="A252" s="483"/>
      <c r="B252" s="484" t="s">
        <v>405</v>
      </c>
      <c r="C252" s="484" t="s">
        <v>402</v>
      </c>
      <c r="D252" s="484" t="s">
        <v>406</v>
      </c>
      <c r="E252" s="484"/>
      <c r="F252" s="485"/>
      <c r="G252" s="486"/>
      <c r="H252" s="487"/>
      <c r="I252" s="521"/>
      <c r="J252" s="522"/>
      <c r="K252" s="345"/>
    </row>
    <row r="253" ht="23.1" customHeight="1" spans="1:11">
      <c r="A253" s="483"/>
      <c r="B253" s="484" t="s">
        <v>407</v>
      </c>
      <c r="C253" s="484" t="s">
        <v>398</v>
      </c>
      <c r="D253" s="484" t="s">
        <v>408</v>
      </c>
      <c r="E253" s="484"/>
      <c r="F253" s="485">
        <v>47.43</v>
      </c>
      <c r="G253" s="486"/>
      <c r="H253" s="487"/>
      <c r="I253" s="521"/>
      <c r="J253" s="522"/>
      <c r="K253" s="345"/>
    </row>
    <row r="254" ht="23.1" customHeight="1" spans="1:11">
      <c r="A254" s="483"/>
      <c r="B254" s="488" t="s">
        <v>407</v>
      </c>
      <c r="C254" s="484" t="s">
        <v>402</v>
      </c>
      <c r="D254" s="484" t="s">
        <v>408</v>
      </c>
      <c r="E254" s="484"/>
      <c r="F254" s="485"/>
      <c r="G254" s="486"/>
      <c r="H254" s="487"/>
      <c r="I254" s="521"/>
      <c r="J254" s="522"/>
      <c r="K254" s="345"/>
    </row>
    <row r="255" ht="23.1" customHeight="1" spans="1:11">
      <c r="A255" s="489"/>
      <c r="B255" s="490"/>
      <c r="C255" s="491"/>
      <c r="D255" s="491"/>
      <c r="E255" s="492" t="s">
        <v>409</v>
      </c>
      <c r="F255" s="493">
        <f>SUM(F247:F254)</f>
        <v>278.83</v>
      </c>
      <c r="G255" s="494"/>
      <c r="H255" s="495" t="s">
        <v>410</v>
      </c>
      <c r="I255" s="523">
        <f>SUM(I247:I254)</f>
        <v>10317.27</v>
      </c>
      <c r="J255" s="522"/>
      <c r="K255" s="345"/>
    </row>
    <row r="256" ht="23.1" customHeight="1" spans="1:11">
      <c r="A256" s="496"/>
      <c r="B256" s="497"/>
      <c r="C256" s="498"/>
      <c r="D256" s="498"/>
      <c r="E256" s="498"/>
      <c r="F256" s="499"/>
      <c r="G256" s="500"/>
      <c r="H256" s="501"/>
      <c r="I256" s="501"/>
      <c r="J256" s="522"/>
      <c r="K256" s="345"/>
    </row>
    <row r="257" s="371" customFormat="1" ht="28.5" customHeight="1" spans="1:10">
      <c r="A257" s="524" t="s">
        <v>411</v>
      </c>
      <c r="B257" s="524"/>
      <c r="C257" s="524"/>
      <c r="D257" s="524"/>
      <c r="E257" s="524"/>
      <c r="F257" s="524"/>
      <c r="G257" s="525" t="s">
        <v>395</v>
      </c>
      <c r="H257" s="525"/>
      <c r="I257" s="525"/>
      <c r="J257" s="608"/>
    </row>
    <row r="258" ht="23.1" customHeight="1" spans="1:9">
      <c r="A258" s="526" t="s">
        <v>412</v>
      </c>
      <c r="B258" s="527" t="s">
        <v>413</v>
      </c>
      <c r="C258" s="528" t="s">
        <v>414</v>
      </c>
      <c r="D258" s="529">
        <v>100000</v>
      </c>
      <c r="E258" s="530" t="s">
        <v>415</v>
      </c>
      <c r="F258" s="531" t="s">
        <v>416</v>
      </c>
      <c r="G258" s="532" t="s">
        <v>417</v>
      </c>
      <c r="H258" s="533">
        <v>101750</v>
      </c>
      <c r="I258" s="609" t="s">
        <v>415</v>
      </c>
    </row>
    <row r="259" ht="23.1" customHeight="1" spans="1:9">
      <c r="A259" s="534"/>
      <c r="B259" s="535" t="s">
        <v>413</v>
      </c>
      <c r="C259" s="536" t="s">
        <v>414</v>
      </c>
      <c r="D259" s="536">
        <v>100000</v>
      </c>
      <c r="E259" s="537" t="s">
        <v>415</v>
      </c>
      <c r="F259" s="535" t="s">
        <v>416</v>
      </c>
      <c r="G259" s="538" t="s">
        <v>417</v>
      </c>
      <c r="H259" s="536">
        <v>101750</v>
      </c>
      <c r="I259" s="610" t="s">
        <v>415</v>
      </c>
    </row>
    <row r="260" ht="23.1" customHeight="1" spans="1:9">
      <c r="A260" s="534"/>
      <c r="B260" s="539" t="s">
        <v>413</v>
      </c>
      <c r="C260" s="540" t="s">
        <v>414</v>
      </c>
      <c r="D260" s="540">
        <v>150000</v>
      </c>
      <c r="E260" s="541" t="s">
        <v>415</v>
      </c>
      <c r="F260" s="542" t="s">
        <v>416</v>
      </c>
      <c r="G260" s="543" t="s">
        <v>417</v>
      </c>
      <c r="H260" s="544">
        <v>152625</v>
      </c>
      <c r="I260" s="611" t="s">
        <v>415</v>
      </c>
    </row>
    <row r="261" ht="23.1" customHeight="1" spans="1:9">
      <c r="A261" s="534"/>
      <c r="B261" s="545" t="s">
        <v>418</v>
      </c>
      <c r="C261" s="546" t="s">
        <v>414</v>
      </c>
      <c r="D261" s="547">
        <v>200000</v>
      </c>
      <c r="E261" s="548" t="s">
        <v>419</v>
      </c>
      <c r="F261" s="549" t="s">
        <v>420</v>
      </c>
      <c r="G261" s="550" t="s">
        <v>417</v>
      </c>
      <c r="H261" s="551">
        <v>203900</v>
      </c>
      <c r="I261" s="612" t="s">
        <v>419</v>
      </c>
    </row>
    <row r="262" ht="23.1" customHeight="1" spans="1:9">
      <c r="A262" s="534"/>
      <c r="B262" s="552"/>
      <c r="C262" s="553"/>
      <c r="D262" s="554"/>
      <c r="E262" s="555"/>
      <c r="F262" s="556" t="s">
        <v>421</v>
      </c>
      <c r="G262" s="557" t="s">
        <v>417</v>
      </c>
      <c r="H262" s="558">
        <v>103530.63</v>
      </c>
      <c r="I262" s="588" t="s">
        <v>415</v>
      </c>
    </row>
    <row r="263" ht="23.1" customHeight="1" spans="1:9">
      <c r="A263" s="534"/>
      <c r="B263" s="559"/>
      <c r="C263" s="560"/>
      <c r="D263" s="561"/>
      <c r="E263" s="562"/>
      <c r="F263" s="563" t="s">
        <v>421</v>
      </c>
      <c r="G263" s="564" t="s">
        <v>417</v>
      </c>
      <c r="H263" s="565">
        <v>103530.63</v>
      </c>
      <c r="I263" s="613" t="s">
        <v>415</v>
      </c>
    </row>
    <row r="264" ht="23.1" customHeight="1" spans="1:9">
      <c r="A264" s="534"/>
      <c r="B264" s="566"/>
      <c r="C264" s="567"/>
      <c r="D264" s="568"/>
      <c r="E264" s="569"/>
      <c r="F264" s="570" t="s">
        <v>421</v>
      </c>
      <c r="G264" s="571" t="s">
        <v>417</v>
      </c>
      <c r="H264" s="572">
        <v>155295.94</v>
      </c>
      <c r="I264" s="614" t="s">
        <v>415</v>
      </c>
    </row>
    <row r="265" ht="30" customHeight="1" spans="1:9">
      <c r="A265" s="534"/>
      <c r="B265" s="573"/>
      <c r="C265" s="574"/>
      <c r="D265" s="575" t="s">
        <v>422</v>
      </c>
      <c r="E265" s="575"/>
      <c r="F265" s="576"/>
      <c r="G265" s="576"/>
      <c r="H265" s="577">
        <f>SUM(H261:H264)</f>
        <v>566257.2</v>
      </c>
      <c r="I265" s="615"/>
    </row>
    <row r="266" ht="24.95" customHeight="1" spans="1:10">
      <c r="A266" s="534"/>
      <c r="B266" s="578" t="s">
        <v>401</v>
      </c>
      <c r="C266" s="579" t="s">
        <v>417</v>
      </c>
      <c r="D266" s="580">
        <v>207876.05</v>
      </c>
      <c r="E266" s="581" t="s">
        <v>419</v>
      </c>
      <c r="F266" s="582"/>
      <c r="G266" s="583"/>
      <c r="H266" s="584"/>
      <c r="I266" s="616"/>
      <c r="J266" s="617"/>
    </row>
    <row r="267" ht="24.95" customHeight="1" spans="1:10">
      <c r="A267" s="534"/>
      <c r="B267" s="585" t="s">
        <v>256</v>
      </c>
      <c r="C267" s="586" t="s">
        <v>417</v>
      </c>
      <c r="D267" s="587">
        <v>158013.6</v>
      </c>
      <c r="E267" s="588" t="s">
        <v>415</v>
      </c>
      <c r="F267" s="589"/>
      <c r="G267" s="590"/>
      <c r="H267" s="591"/>
      <c r="I267" s="618"/>
      <c r="J267" s="617"/>
    </row>
    <row r="268" ht="24.95" customHeight="1" spans="1:10">
      <c r="A268" s="534"/>
      <c r="B268" s="585" t="s">
        <v>256</v>
      </c>
      <c r="C268" s="586" t="s">
        <v>417</v>
      </c>
      <c r="D268" s="587">
        <v>105342.41</v>
      </c>
      <c r="E268" s="592" t="s">
        <v>415</v>
      </c>
      <c r="F268" s="593"/>
      <c r="G268" s="594"/>
      <c r="H268" s="591"/>
      <c r="I268" s="619"/>
      <c r="J268" s="167"/>
    </row>
    <row r="269" ht="24.95" customHeight="1" spans="1:10">
      <c r="A269" s="534"/>
      <c r="B269" s="595" t="s">
        <v>256</v>
      </c>
      <c r="C269" s="596" t="s">
        <v>417</v>
      </c>
      <c r="D269" s="597">
        <v>105342.41</v>
      </c>
      <c r="E269" s="598" t="s">
        <v>415</v>
      </c>
      <c r="F269" s="599"/>
      <c r="G269" s="600"/>
      <c r="H269" s="601"/>
      <c r="I269" s="620"/>
      <c r="J269" s="167"/>
    </row>
    <row r="270" ht="29.25" customHeight="1" spans="1:10">
      <c r="A270" s="534"/>
      <c r="B270" s="602"/>
      <c r="C270" s="185"/>
      <c r="D270" s="603" t="s">
        <v>423</v>
      </c>
      <c r="E270" s="603"/>
      <c r="F270" s="604"/>
      <c r="G270" s="604"/>
      <c r="H270" s="605">
        <f>D266+D267+D268+D269</f>
        <v>576574.47</v>
      </c>
      <c r="I270" s="621"/>
      <c r="J270" s="167"/>
    </row>
    <row r="271" spans="1:9">
      <c r="A271" s="606"/>
      <c r="B271" s="607"/>
      <c r="F271" s="607"/>
      <c r="H271" s="607"/>
      <c r="I271" s="622"/>
    </row>
  </sheetData>
  <mergeCells count="68">
    <mergeCell ref="B4:C4"/>
    <mergeCell ref="D4:I4"/>
    <mergeCell ref="B6:F6"/>
    <mergeCell ref="D62:F62"/>
    <mergeCell ref="D63:F63"/>
    <mergeCell ref="D64:F64"/>
    <mergeCell ref="D69:F69"/>
    <mergeCell ref="D77:F77"/>
    <mergeCell ref="D92:F92"/>
    <mergeCell ref="D93:F93"/>
    <mergeCell ref="D94:F94"/>
    <mergeCell ref="D106:F106"/>
    <mergeCell ref="D107:F107"/>
    <mergeCell ref="D108:F108"/>
    <mergeCell ref="E109:F109"/>
    <mergeCell ref="D110:F110"/>
    <mergeCell ref="E111:F111"/>
    <mergeCell ref="D117:F117"/>
    <mergeCell ref="D133:F133"/>
    <mergeCell ref="D138:F138"/>
    <mergeCell ref="D145:F145"/>
    <mergeCell ref="D157:F157"/>
    <mergeCell ref="D158:F158"/>
    <mergeCell ref="D167:F167"/>
    <mergeCell ref="D170:F170"/>
    <mergeCell ref="D179:F179"/>
    <mergeCell ref="D180:F180"/>
    <mergeCell ref="D187:F187"/>
    <mergeCell ref="D192:F192"/>
    <mergeCell ref="D198:F198"/>
    <mergeCell ref="D203:F203"/>
    <mergeCell ref="D204:F204"/>
    <mergeCell ref="D211:F211"/>
    <mergeCell ref="D224:F224"/>
    <mergeCell ref="D231:F231"/>
    <mergeCell ref="F234:I234"/>
    <mergeCell ref="F235:I235"/>
    <mergeCell ref="F236:I236"/>
    <mergeCell ref="F237:I237"/>
    <mergeCell ref="G238:H238"/>
    <mergeCell ref="B241:K241"/>
    <mergeCell ref="B242:I242"/>
    <mergeCell ref="A246:F246"/>
    <mergeCell ref="G246:I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A257:F257"/>
    <mergeCell ref="G257:I257"/>
    <mergeCell ref="D265:G265"/>
    <mergeCell ref="D270:G270"/>
    <mergeCell ref="A234:A237"/>
    <mergeCell ref="A238:A240"/>
    <mergeCell ref="A247:A254"/>
    <mergeCell ref="A258:A270"/>
    <mergeCell ref="B234:B237"/>
    <mergeCell ref="B238:B240"/>
    <mergeCell ref="G247:G254"/>
    <mergeCell ref="B1:J3"/>
    <mergeCell ref="C234:E237"/>
    <mergeCell ref="G239:H240"/>
    <mergeCell ref="C238:D240"/>
    <mergeCell ref="E238:F2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zoomScale="90" zoomScaleNormal="90" topLeftCell="A10" workbookViewId="0">
      <selection activeCell="G40" sqref="G40"/>
    </sheetView>
  </sheetViews>
  <sheetFormatPr defaultColWidth="10" defaultRowHeight="13.5"/>
  <cols>
    <col min="2" max="2" width="12.6283185840708" customWidth="1"/>
    <col min="3" max="3" width="15.3716814159292" customWidth="1"/>
    <col min="4" max="4" width="15.1238938053097" customWidth="1"/>
    <col min="5" max="5" width="15.6283185840708" customWidth="1"/>
    <col min="6" max="6" width="17.7522123893805" customWidth="1"/>
    <col min="7" max="7" width="14.6283185840708" customWidth="1"/>
    <col min="8" max="8" width="14.1238938053097" customWidth="1"/>
    <col min="9" max="9" width="16.6283185840708" customWidth="1"/>
    <col min="10" max="10" width="11.5044247787611" customWidth="1"/>
  </cols>
  <sheetData>
    <row r="1" ht="26.25" customHeight="1" spans="1:10">
      <c r="A1" s="277" t="s">
        <v>424</v>
      </c>
      <c r="B1" s="278"/>
      <c r="C1" s="278"/>
      <c r="D1" s="278"/>
      <c r="E1" s="278"/>
      <c r="F1" s="278"/>
      <c r="G1" s="278"/>
      <c r="H1" s="278"/>
      <c r="I1" s="278"/>
      <c r="J1" s="278"/>
    </row>
    <row r="2" ht="21.75" customHeight="1" spans="1:10">
      <c r="A2" s="279"/>
      <c r="B2" s="280"/>
      <c r="C2" s="280"/>
      <c r="D2" s="280"/>
      <c r="E2" s="280"/>
      <c r="F2" s="280"/>
      <c r="G2" s="280"/>
      <c r="H2" s="280"/>
      <c r="I2" s="280"/>
      <c r="J2" s="280"/>
    </row>
    <row r="3" ht="21.75" customHeight="1" spans="1:10">
      <c r="A3" s="281"/>
      <c r="B3" s="282"/>
      <c r="C3" s="282"/>
      <c r="D3" s="282"/>
      <c r="E3" s="282"/>
      <c r="F3" s="281"/>
      <c r="G3" s="281"/>
      <c r="H3" s="281"/>
      <c r="I3" s="281"/>
      <c r="J3" s="281"/>
    </row>
    <row r="4" spans="2:10">
      <c r="B4" s="283" t="s">
        <v>425</v>
      </c>
      <c r="C4" s="283"/>
      <c r="D4" s="283"/>
      <c r="E4" s="283"/>
      <c r="F4" s="283"/>
      <c r="G4" s="283"/>
      <c r="H4" s="283"/>
      <c r="I4" s="283"/>
      <c r="J4" s="283"/>
    </row>
    <row r="5" ht="18" customHeight="1" spans="1:10">
      <c r="A5" s="284"/>
      <c r="B5" s="283"/>
      <c r="C5" s="283"/>
      <c r="D5" s="283"/>
      <c r="E5" s="283"/>
      <c r="F5" s="283"/>
      <c r="G5" s="283"/>
      <c r="H5" s="283"/>
      <c r="I5" s="283"/>
      <c r="J5" s="283"/>
    </row>
    <row r="6" ht="31.5" customHeight="1" spans="1:11">
      <c r="A6" s="285" t="s">
        <v>426</v>
      </c>
      <c r="B6" s="286" t="s">
        <v>427</v>
      </c>
      <c r="C6" s="287" t="s">
        <v>428</v>
      </c>
      <c r="D6" s="287" t="s">
        <v>429</v>
      </c>
      <c r="E6" s="287" t="s">
        <v>430</v>
      </c>
      <c r="F6" s="288" t="s">
        <v>431</v>
      </c>
      <c r="G6" s="289" t="s">
        <v>432</v>
      </c>
      <c r="H6" s="287" t="s">
        <v>433</v>
      </c>
      <c r="I6" s="287"/>
      <c r="J6" s="287"/>
      <c r="K6" s="348"/>
    </row>
    <row r="7" ht="17.1" customHeight="1" spans="1:11">
      <c r="A7" s="290">
        <v>1</v>
      </c>
      <c r="B7" s="291" t="s">
        <v>434</v>
      </c>
      <c r="C7" s="292">
        <v>86012.94</v>
      </c>
      <c r="D7" s="292">
        <v>5512.94</v>
      </c>
      <c r="E7" s="292" t="s">
        <v>435</v>
      </c>
      <c r="F7" s="292">
        <v>3500</v>
      </c>
      <c r="G7" s="293">
        <v>24</v>
      </c>
      <c r="H7" s="294" t="s">
        <v>436</v>
      </c>
      <c r="I7" s="294"/>
      <c r="J7" s="294"/>
      <c r="K7" s="349" t="s">
        <v>437</v>
      </c>
    </row>
    <row r="8" ht="17.1" customHeight="1" spans="1:11">
      <c r="A8" s="290">
        <v>2</v>
      </c>
      <c r="B8" s="291" t="s">
        <v>438</v>
      </c>
      <c r="C8" s="292">
        <v>70832.88</v>
      </c>
      <c r="D8" s="292">
        <v>4332.88</v>
      </c>
      <c r="E8" s="292" t="s">
        <v>439</v>
      </c>
      <c r="F8" s="292">
        <v>3500</v>
      </c>
      <c r="G8" s="293">
        <v>20</v>
      </c>
      <c r="H8" s="294" t="s">
        <v>436</v>
      </c>
      <c r="I8" s="294"/>
      <c r="J8" s="294"/>
      <c r="K8" s="349" t="s">
        <v>437</v>
      </c>
    </row>
    <row r="9" ht="17.1" customHeight="1" spans="1:11">
      <c r="A9" s="290">
        <v>3</v>
      </c>
      <c r="B9" s="291" t="s">
        <v>440</v>
      </c>
      <c r="C9" s="292">
        <v>67330.7</v>
      </c>
      <c r="D9" s="292">
        <v>10477.06</v>
      </c>
      <c r="E9" s="292" t="s">
        <v>441</v>
      </c>
      <c r="F9" s="292">
        <v>3500</v>
      </c>
      <c r="G9" s="293">
        <v>17</v>
      </c>
      <c r="H9" s="294" t="s">
        <v>442</v>
      </c>
      <c r="I9" s="294"/>
      <c r="J9" s="294"/>
      <c r="K9" s="349" t="s">
        <v>437</v>
      </c>
    </row>
    <row r="10" ht="34.5" customHeight="1" spans="1:11">
      <c r="A10" s="290">
        <v>4</v>
      </c>
      <c r="B10" s="295" t="s">
        <v>443</v>
      </c>
      <c r="C10" s="296">
        <v>80000</v>
      </c>
      <c r="D10" s="296">
        <v>15000</v>
      </c>
      <c r="E10" s="296" t="s">
        <v>444</v>
      </c>
      <c r="F10" s="297"/>
      <c r="G10" s="298">
        <v>8</v>
      </c>
      <c r="H10" s="299" t="s">
        <v>445</v>
      </c>
      <c r="I10" s="350"/>
      <c r="J10" s="351"/>
      <c r="K10" s="349"/>
    </row>
    <row r="11" ht="17.1" customHeight="1" spans="1:11">
      <c r="A11" s="290">
        <v>5</v>
      </c>
      <c r="B11" s="300" t="s">
        <v>446</v>
      </c>
      <c r="C11" s="297">
        <v>20000</v>
      </c>
      <c r="D11" s="297">
        <v>5000</v>
      </c>
      <c r="E11" s="296" t="s">
        <v>447</v>
      </c>
      <c r="F11" s="297">
        <v>3000</v>
      </c>
      <c r="G11" s="298">
        <v>6</v>
      </c>
      <c r="H11" s="301" t="s">
        <v>448</v>
      </c>
      <c r="I11" s="301"/>
      <c r="J11" s="301"/>
      <c r="K11" s="349" t="s">
        <v>437</v>
      </c>
    </row>
    <row r="12" ht="17.1" customHeight="1" spans="1:11">
      <c r="A12" s="290">
        <v>6</v>
      </c>
      <c r="B12" s="300" t="s">
        <v>449</v>
      </c>
      <c r="C12" s="302">
        <v>10000</v>
      </c>
      <c r="D12" s="302">
        <v>5000</v>
      </c>
      <c r="E12" s="296" t="s">
        <v>450</v>
      </c>
      <c r="F12" s="302"/>
      <c r="G12" s="298">
        <v>2</v>
      </c>
      <c r="H12" s="301" t="s">
        <v>451</v>
      </c>
      <c r="I12" s="301"/>
      <c r="J12" s="301"/>
      <c r="K12" s="349" t="s">
        <v>437</v>
      </c>
    </row>
    <row r="13" ht="17.1" customHeight="1" spans="1:11">
      <c r="A13" s="290">
        <v>7</v>
      </c>
      <c r="B13" s="300" t="s">
        <v>452</v>
      </c>
      <c r="C13" s="302">
        <v>15000</v>
      </c>
      <c r="D13" s="302">
        <v>1500</v>
      </c>
      <c r="E13" s="296"/>
      <c r="F13" s="302">
        <v>1500</v>
      </c>
      <c r="G13" s="298">
        <v>10</v>
      </c>
      <c r="H13" s="301"/>
      <c r="I13" s="301"/>
      <c r="J13" s="301"/>
      <c r="K13" s="349" t="s">
        <v>437</v>
      </c>
    </row>
    <row r="14" ht="17.1" customHeight="1" spans="1:11">
      <c r="A14" s="290">
        <v>8</v>
      </c>
      <c r="B14" s="300" t="s">
        <v>453</v>
      </c>
      <c r="C14" s="302">
        <v>61219</v>
      </c>
      <c r="D14" s="302">
        <v>30000</v>
      </c>
      <c r="E14" s="296" t="s">
        <v>454</v>
      </c>
      <c r="F14" s="302"/>
      <c r="G14" s="300"/>
      <c r="H14" s="301" t="s">
        <v>455</v>
      </c>
      <c r="I14" s="301"/>
      <c r="J14" s="301"/>
      <c r="K14" s="349" t="s">
        <v>437</v>
      </c>
    </row>
    <row r="15" ht="17.1" customHeight="1" spans="1:11">
      <c r="A15" s="290">
        <v>9</v>
      </c>
      <c r="B15" s="300" t="s">
        <v>456</v>
      </c>
      <c r="C15" s="302">
        <v>20000</v>
      </c>
      <c r="D15" s="302">
        <v>1000</v>
      </c>
      <c r="E15" s="296" t="s">
        <v>339</v>
      </c>
      <c r="F15" s="302">
        <v>1000</v>
      </c>
      <c r="G15" s="300">
        <v>20</v>
      </c>
      <c r="H15" s="303" t="s">
        <v>457</v>
      </c>
      <c r="I15" s="352"/>
      <c r="J15" s="330"/>
      <c r="K15" s="349"/>
    </row>
    <row r="16" ht="17.1" customHeight="1" spans="1:11">
      <c r="A16" s="290"/>
      <c r="B16" s="300"/>
      <c r="C16" s="302"/>
      <c r="D16" s="302"/>
      <c r="E16" s="296"/>
      <c r="F16" s="302"/>
      <c r="G16" s="300"/>
      <c r="H16" s="303"/>
      <c r="I16" s="352"/>
      <c r="J16" s="330"/>
      <c r="K16" s="349"/>
    </row>
    <row r="17" ht="17.1" customHeight="1" spans="1:11">
      <c r="A17" s="304"/>
      <c r="B17" s="305"/>
      <c r="C17" s="306"/>
      <c r="D17" s="306"/>
      <c r="E17" s="307"/>
      <c r="F17" s="306"/>
      <c r="G17" s="305"/>
      <c r="H17" s="308"/>
      <c r="I17" s="353"/>
      <c r="J17" s="333"/>
      <c r="K17" s="354"/>
    </row>
    <row r="18" ht="17.1" customHeight="1" spans="1:11">
      <c r="A18" s="284"/>
      <c r="B18" s="309"/>
      <c r="C18" s="310"/>
      <c r="D18" s="310"/>
      <c r="E18" s="311"/>
      <c r="F18" s="310"/>
      <c r="G18" s="309"/>
      <c r="H18" s="312"/>
      <c r="I18" s="312"/>
      <c r="J18" s="312"/>
      <c r="K18" s="355"/>
    </row>
    <row r="19" ht="17.1" customHeight="1" spans="1:9">
      <c r="A19" s="284"/>
      <c r="B19" s="313" t="s">
        <v>458</v>
      </c>
      <c r="C19" s="313"/>
      <c r="D19" s="313"/>
      <c r="E19" s="313"/>
      <c r="F19" s="314" t="s">
        <v>459</v>
      </c>
      <c r="G19" s="314"/>
      <c r="H19" s="314"/>
      <c r="I19" s="314"/>
    </row>
    <row r="20" ht="17.1" customHeight="1" spans="1:9">
      <c r="A20" s="284"/>
      <c r="B20" s="315" t="s">
        <v>432</v>
      </c>
      <c r="C20" s="316" t="s">
        <v>460</v>
      </c>
      <c r="D20" s="317" t="s">
        <v>461</v>
      </c>
      <c r="E20" s="318" t="s">
        <v>462</v>
      </c>
      <c r="F20" s="319" t="s">
        <v>432</v>
      </c>
      <c r="G20" s="320" t="s">
        <v>460</v>
      </c>
      <c r="H20" s="321">
        <v>80000</v>
      </c>
      <c r="I20" s="356" t="s">
        <v>462</v>
      </c>
    </row>
    <row r="21" ht="17.1" customHeight="1" spans="1:9">
      <c r="A21" s="284"/>
      <c r="B21" s="322" t="s">
        <v>463</v>
      </c>
      <c r="C21" s="300" t="s">
        <v>339</v>
      </c>
      <c r="D21" s="323">
        <v>1000</v>
      </c>
      <c r="E21" s="324">
        <v>19000</v>
      </c>
      <c r="F21" s="325" t="s">
        <v>463</v>
      </c>
      <c r="G21" s="326" t="s">
        <v>464</v>
      </c>
      <c r="H21" s="327">
        <v>15000</v>
      </c>
      <c r="I21" s="357">
        <f>H20-H21</f>
        <v>65000</v>
      </c>
    </row>
    <row r="22" ht="17.1" customHeight="1" spans="1:9">
      <c r="A22" s="284"/>
      <c r="B22" s="322" t="s">
        <v>465</v>
      </c>
      <c r="C22" s="300" t="s">
        <v>466</v>
      </c>
      <c r="D22" s="323">
        <v>1000</v>
      </c>
      <c r="E22" s="324">
        <f>E21-D22</f>
        <v>18000</v>
      </c>
      <c r="F22" s="325" t="s">
        <v>465</v>
      </c>
      <c r="G22" s="326" t="s">
        <v>467</v>
      </c>
      <c r="H22" s="327">
        <v>65000</v>
      </c>
      <c r="I22" s="357">
        <v>0</v>
      </c>
    </row>
    <row r="23" ht="17.1" customHeight="1" spans="1:9">
      <c r="A23" s="284"/>
      <c r="B23" s="322" t="s">
        <v>468</v>
      </c>
      <c r="C23" s="300" t="s">
        <v>469</v>
      </c>
      <c r="D23" s="323">
        <v>1000</v>
      </c>
      <c r="E23" s="324">
        <f t="shared" ref="E23:E40" si="0">E22-D23</f>
        <v>17000</v>
      </c>
      <c r="F23" s="328" t="s">
        <v>470</v>
      </c>
      <c r="G23" s="326" t="s">
        <v>471</v>
      </c>
      <c r="H23" s="329"/>
      <c r="I23" s="357">
        <v>65000</v>
      </c>
    </row>
    <row r="24" ht="17.1" customHeight="1" spans="1:9">
      <c r="A24" s="284"/>
      <c r="B24" s="322" t="s">
        <v>472</v>
      </c>
      <c r="C24" s="300" t="s">
        <v>473</v>
      </c>
      <c r="D24" s="323">
        <v>1000</v>
      </c>
      <c r="E24" s="324">
        <f t="shared" si="0"/>
        <v>16000</v>
      </c>
      <c r="F24" s="328" t="s">
        <v>474</v>
      </c>
      <c r="G24" s="326" t="s">
        <v>475</v>
      </c>
      <c r="H24" s="327">
        <v>10000</v>
      </c>
      <c r="I24" s="357">
        <f>I23-H24</f>
        <v>55000</v>
      </c>
    </row>
    <row r="25" ht="17.1" customHeight="1" spans="1:9">
      <c r="A25" s="284"/>
      <c r="B25" s="322" t="s">
        <v>476</v>
      </c>
      <c r="C25" s="300" t="s">
        <v>477</v>
      </c>
      <c r="D25" s="323">
        <v>1000</v>
      </c>
      <c r="E25" s="324">
        <f t="shared" si="0"/>
        <v>15000</v>
      </c>
      <c r="F25" s="328" t="s">
        <v>474</v>
      </c>
      <c r="G25" s="326" t="s">
        <v>478</v>
      </c>
      <c r="H25" s="327">
        <v>10000</v>
      </c>
      <c r="I25" s="357">
        <f>I24-H25</f>
        <v>45000</v>
      </c>
    </row>
    <row r="26" ht="17.1" customHeight="1" spans="1:9">
      <c r="A26" s="284"/>
      <c r="B26" s="322" t="s">
        <v>479</v>
      </c>
      <c r="C26" s="300" t="s">
        <v>480</v>
      </c>
      <c r="D26" s="323">
        <v>1000</v>
      </c>
      <c r="E26" s="324">
        <f t="shared" si="0"/>
        <v>14000</v>
      </c>
      <c r="F26" s="328" t="s">
        <v>474</v>
      </c>
      <c r="G26" s="326" t="s">
        <v>481</v>
      </c>
      <c r="H26" s="327">
        <v>10000</v>
      </c>
      <c r="I26" s="357">
        <f>I25-H26</f>
        <v>35000</v>
      </c>
    </row>
    <row r="27" ht="17.1" customHeight="1" spans="1:9">
      <c r="A27" s="284"/>
      <c r="B27" s="322" t="s">
        <v>482</v>
      </c>
      <c r="C27" s="300" t="s">
        <v>483</v>
      </c>
      <c r="D27" s="323">
        <v>1000</v>
      </c>
      <c r="E27" s="324">
        <f t="shared" si="0"/>
        <v>13000</v>
      </c>
      <c r="F27" s="328" t="s">
        <v>474</v>
      </c>
      <c r="G27" s="326" t="s">
        <v>484</v>
      </c>
      <c r="H27" s="327">
        <v>10000</v>
      </c>
      <c r="I27" s="357">
        <f>I26-H27</f>
        <v>25000</v>
      </c>
    </row>
    <row r="28" ht="17.1" customHeight="1" spans="1:9">
      <c r="A28" s="284"/>
      <c r="B28" s="322" t="s">
        <v>485</v>
      </c>
      <c r="C28" s="300" t="s">
        <v>486</v>
      </c>
      <c r="D28" s="323">
        <v>1000</v>
      </c>
      <c r="E28" s="324">
        <f t="shared" si="0"/>
        <v>12000</v>
      </c>
      <c r="F28" s="325"/>
      <c r="G28" s="326"/>
      <c r="H28" s="327"/>
      <c r="I28" s="357">
        <f t="shared" ref="I28:I30" si="1">I27-H28</f>
        <v>25000</v>
      </c>
    </row>
    <row r="29" ht="17.1" customHeight="1" spans="1:9">
      <c r="A29" s="284"/>
      <c r="B29" s="322" t="s">
        <v>487</v>
      </c>
      <c r="C29" s="300" t="s">
        <v>488</v>
      </c>
      <c r="D29" s="323">
        <v>1000</v>
      </c>
      <c r="E29" s="324">
        <f t="shared" si="0"/>
        <v>11000</v>
      </c>
      <c r="F29" s="330"/>
      <c r="G29" s="331"/>
      <c r="H29" s="332"/>
      <c r="I29" s="357">
        <f t="shared" si="1"/>
        <v>25000</v>
      </c>
    </row>
    <row r="30" ht="17.1" customHeight="1" spans="1:9">
      <c r="A30" s="284"/>
      <c r="B30" s="322" t="s">
        <v>489</v>
      </c>
      <c r="C30" s="300" t="s">
        <v>490</v>
      </c>
      <c r="D30" s="323">
        <v>1000</v>
      </c>
      <c r="E30" s="324">
        <f t="shared" si="0"/>
        <v>10000</v>
      </c>
      <c r="F30" s="333"/>
      <c r="G30" s="334"/>
      <c r="H30" s="335"/>
      <c r="I30" s="357">
        <f t="shared" si="1"/>
        <v>25000</v>
      </c>
    </row>
    <row r="31" ht="17.1" customHeight="1" spans="1:9">
      <c r="A31" s="284"/>
      <c r="B31" s="322" t="s">
        <v>491</v>
      </c>
      <c r="C31" s="300" t="s">
        <v>492</v>
      </c>
      <c r="D31" s="323">
        <v>1000</v>
      </c>
      <c r="E31" s="324">
        <f t="shared" si="0"/>
        <v>9000</v>
      </c>
      <c r="F31" s="336"/>
      <c r="G31" s="336"/>
      <c r="H31" s="336"/>
      <c r="I31" s="358"/>
    </row>
    <row r="32" ht="15.75" spans="1:10">
      <c r="A32" s="337"/>
      <c r="B32" s="322" t="s">
        <v>493</v>
      </c>
      <c r="C32" s="300" t="s">
        <v>494</v>
      </c>
      <c r="D32" s="323">
        <v>1000</v>
      </c>
      <c r="E32" s="324">
        <f t="shared" si="0"/>
        <v>8000</v>
      </c>
      <c r="F32" s="338"/>
      <c r="G32" s="338"/>
      <c r="H32" s="338"/>
      <c r="I32" s="359"/>
      <c r="J32" s="359"/>
    </row>
    <row r="33" ht="18" customHeight="1" spans="2:5">
      <c r="B33" s="322" t="s">
        <v>495</v>
      </c>
      <c r="C33" s="300" t="s">
        <v>496</v>
      </c>
      <c r="D33" s="323">
        <v>1000</v>
      </c>
      <c r="E33" s="324">
        <f t="shared" si="0"/>
        <v>7000</v>
      </c>
    </row>
    <row r="34" ht="18" customHeight="1" spans="2:5">
      <c r="B34" s="322" t="s">
        <v>497</v>
      </c>
      <c r="C34" s="300" t="s">
        <v>498</v>
      </c>
      <c r="D34" s="323">
        <v>1000</v>
      </c>
      <c r="E34" s="324">
        <f t="shared" si="0"/>
        <v>6000</v>
      </c>
    </row>
    <row r="35" ht="18" customHeight="1" spans="2:5">
      <c r="B35" s="322" t="s">
        <v>499</v>
      </c>
      <c r="C35" s="300" t="s">
        <v>500</v>
      </c>
      <c r="D35" s="323">
        <v>1000</v>
      </c>
      <c r="E35" s="324">
        <f t="shared" si="0"/>
        <v>5000</v>
      </c>
    </row>
    <row r="36" ht="18" customHeight="1" spans="2:5">
      <c r="B36" s="322" t="s">
        <v>501</v>
      </c>
      <c r="C36" s="300" t="s">
        <v>502</v>
      </c>
      <c r="D36" s="323">
        <v>1000</v>
      </c>
      <c r="E36" s="324">
        <f t="shared" si="0"/>
        <v>4000</v>
      </c>
    </row>
    <row r="37" ht="18" customHeight="1" spans="2:5">
      <c r="B37" s="322" t="s">
        <v>503</v>
      </c>
      <c r="C37" s="300" t="s">
        <v>504</v>
      </c>
      <c r="D37" s="323">
        <v>1000</v>
      </c>
      <c r="E37" s="324">
        <f t="shared" si="0"/>
        <v>3000</v>
      </c>
    </row>
    <row r="38" ht="18" customHeight="1" spans="2:5">
      <c r="B38" s="322" t="s">
        <v>505</v>
      </c>
      <c r="C38" s="300" t="s">
        <v>506</v>
      </c>
      <c r="D38" s="323">
        <v>1000</v>
      </c>
      <c r="E38" s="324">
        <f t="shared" si="0"/>
        <v>2000</v>
      </c>
    </row>
    <row r="39" ht="18" customHeight="1" spans="2:5">
      <c r="B39" s="322" t="s">
        <v>507</v>
      </c>
      <c r="C39" s="339" t="s">
        <v>508</v>
      </c>
      <c r="D39" s="323">
        <v>1000</v>
      </c>
      <c r="E39" s="324">
        <f t="shared" si="0"/>
        <v>1000</v>
      </c>
    </row>
    <row r="40" ht="18" customHeight="1" spans="2:5">
      <c r="B40" s="322" t="s">
        <v>509</v>
      </c>
      <c r="C40" s="305" t="s">
        <v>510</v>
      </c>
      <c r="D40" s="323">
        <v>1000</v>
      </c>
      <c r="E40" s="324">
        <f t="shared" si="0"/>
        <v>0</v>
      </c>
    </row>
    <row r="41" ht="18" customHeight="1" spans="2:5">
      <c r="B41" s="340" t="s">
        <v>511</v>
      </c>
      <c r="C41" s="341"/>
      <c r="D41" s="341"/>
      <c r="E41" s="342"/>
    </row>
    <row r="42" ht="18" customHeight="1" spans="2:5">
      <c r="B42" s="338"/>
      <c r="C42" s="338"/>
      <c r="D42" s="338"/>
      <c r="E42" s="338"/>
    </row>
    <row r="43" ht="18" customHeight="1" spans="2:6">
      <c r="B43" s="343"/>
      <c r="C43" s="343"/>
      <c r="D43" s="343"/>
      <c r="E43" s="343"/>
      <c r="F43" s="344"/>
    </row>
    <row r="44" ht="18" customHeight="1" spans="1:9">
      <c r="A44" s="345"/>
      <c r="B44" s="346"/>
      <c r="C44" s="346"/>
      <c r="D44" s="346"/>
      <c r="E44" s="346"/>
      <c r="F44" s="346"/>
      <c r="G44" s="347"/>
      <c r="H44" s="347"/>
      <c r="I44" s="347"/>
    </row>
    <row r="45" ht="18" customHeight="1" spans="1:9">
      <c r="A45" s="345"/>
      <c r="B45" s="346"/>
      <c r="C45" s="346"/>
      <c r="D45" s="346"/>
      <c r="E45" s="346"/>
      <c r="F45" s="346"/>
      <c r="G45" s="347"/>
      <c r="H45" s="347"/>
      <c r="I45" s="347"/>
    </row>
    <row r="46" ht="18" customHeight="1" spans="1:9">
      <c r="A46" s="345"/>
      <c r="B46" s="346"/>
      <c r="C46" s="346"/>
      <c r="D46" s="346"/>
      <c r="E46" s="346"/>
      <c r="F46" s="346"/>
      <c r="G46" s="347"/>
      <c r="H46" s="347"/>
      <c r="I46" s="347"/>
    </row>
    <row r="47" ht="18" customHeight="1" spans="1:9">
      <c r="A47" s="345"/>
      <c r="B47" s="346"/>
      <c r="C47" s="346"/>
      <c r="D47" s="346"/>
      <c r="E47" s="346"/>
      <c r="F47" s="346"/>
      <c r="G47" s="347"/>
      <c r="H47" s="347"/>
      <c r="I47" s="347"/>
    </row>
    <row r="48" ht="18" customHeight="1" spans="1:9">
      <c r="A48" s="345"/>
      <c r="B48" s="345"/>
      <c r="C48" s="345"/>
      <c r="D48" s="345"/>
      <c r="E48" s="345"/>
      <c r="F48" s="345"/>
      <c r="G48" s="345"/>
      <c r="H48" s="345"/>
      <c r="I48" s="345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 spans="10:10">
      <c r="J55" s="360"/>
    </row>
    <row r="56" ht="18" customHeight="1" spans="10:10">
      <c r="J56" s="360"/>
    </row>
    <row r="57" ht="20.25" customHeight="1" spans="10:10">
      <c r="J57" s="361"/>
    </row>
    <row r="58" ht="20.25" customHeight="1" spans="10:10">
      <c r="J58" s="361"/>
    </row>
    <row r="59" ht="18" customHeight="1" spans="10:10">
      <c r="J59" s="361"/>
    </row>
    <row r="60" ht="18" customHeight="1" spans="10:10">
      <c r="J60" s="167"/>
    </row>
    <row r="61" ht="18" customHeight="1" spans="10:10">
      <c r="J61" s="362"/>
    </row>
    <row r="62" ht="18" customHeight="1" spans="10:10">
      <c r="J62" s="361"/>
    </row>
    <row r="63" ht="18" customHeight="1" spans="10:11">
      <c r="J63" s="363"/>
      <c r="K63" s="167"/>
    </row>
    <row r="64" ht="18" customHeight="1" spans="10:11">
      <c r="J64" s="364"/>
      <c r="K64" s="365"/>
    </row>
    <row r="65" ht="18" customHeight="1" spans="10:11">
      <c r="J65" s="364"/>
      <c r="K65" s="365"/>
    </row>
    <row r="66" ht="18" customHeight="1" spans="10:11">
      <c r="J66" s="364"/>
      <c r="K66" s="365"/>
    </row>
    <row r="67" ht="18" customHeight="1" spans="10:10">
      <c r="J67" s="361"/>
    </row>
    <row r="68" ht="18" customHeight="1" spans="10:10">
      <c r="J68" s="364"/>
    </row>
    <row r="69" ht="18" customHeight="1" spans="10:10">
      <c r="J69" s="361"/>
    </row>
    <row r="70" ht="18" customHeight="1" spans="10:10">
      <c r="J70" s="366"/>
    </row>
    <row r="71" ht="18" customHeight="1" spans="10:10">
      <c r="J71" s="367"/>
    </row>
    <row r="72" ht="18" customHeight="1" spans="10:10">
      <c r="J72" s="368"/>
    </row>
    <row r="73" ht="18" customHeight="1" spans="10:10">
      <c r="J73" s="369"/>
    </row>
    <row r="74" ht="18" customHeight="1" spans="10:10">
      <c r="J74" s="369"/>
    </row>
    <row r="75" ht="18" customHeight="1" spans="10:10">
      <c r="J75" s="369"/>
    </row>
    <row r="76" ht="18" customHeight="1" spans="10:10">
      <c r="J76" s="369"/>
    </row>
    <row r="77" ht="15.75" spans="10:10">
      <c r="J77" s="370"/>
    </row>
    <row r="78" ht="17.25" customHeight="1" spans="10:10">
      <c r="J78" s="367"/>
    </row>
    <row r="79" ht="18.75" customHeight="1"/>
    <row r="80" spans="12:12">
      <c r="L80" s="167"/>
    </row>
    <row r="82" customHeight="1"/>
    <row r="83" customHeight="1"/>
    <row r="84" customHeight="1"/>
    <row r="85" ht="14.25" customHeight="1"/>
  </sheetData>
  <mergeCells count="20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B19:E19"/>
    <mergeCell ref="F19:I19"/>
    <mergeCell ref="F31:I31"/>
    <mergeCell ref="B41:E41"/>
    <mergeCell ref="B43:E43"/>
    <mergeCell ref="A1:J2"/>
    <mergeCell ref="B4:J5"/>
    <mergeCell ref="G44:I4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pane ySplit="4" topLeftCell="A19" activePane="bottomLeft" state="frozen"/>
      <selection/>
      <selection pane="bottomLeft" activeCell="D33" sqref="D33"/>
    </sheetView>
  </sheetViews>
  <sheetFormatPr defaultColWidth="10" defaultRowHeight="13.5" outlineLevelCol="6"/>
  <cols>
    <col min="1" max="1" width="9" style="250" customWidth="1"/>
    <col min="2" max="2" width="14.2477876106195" customWidth="1"/>
    <col min="3" max="3" width="32.8761061946903" customWidth="1"/>
    <col min="4" max="5" width="15.5044247787611" customWidth="1"/>
    <col min="6" max="6" width="24" customWidth="1"/>
  </cols>
  <sheetData>
    <row r="1" customHeight="1" spans="2:7">
      <c r="B1" s="252" t="s">
        <v>512</v>
      </c>
      <c r="C1" s="253"/>
      <c r="D1" s="253"/>
      <c r="E1" s="253"/>
      <c r="F1" s="253"/>
      <c r="G1" s="167"/>
    </row>
    <row r="2" customHeight="1" spans="2:7">
      <c r="B2" s="254"/>
      <c r="C2" s="255"/>
      <c r="D2" s="255"/>
      <c r="E2" s="255"/>
      <c r="F2" s="255"/>
      <c r="G2" s="167"/>
    </row>
    <row r="3" customHeight="1" spans="2:7">
      <c r="B3" s="254"/>
      <c r="C3" s="255"/>
      <c r="D3" s="255"/>
      <c r="E3" s="255"/>
      <c r="F3" s="255"/>
      <c r="G3" s="167"/>
    </row>
    <row r="4" ht="20.1" customHeight="1" spans="1:6">
      <c r="A4" s="256" t="s">
        <v>426</v>
      </c>
      <c r="B4" s="257" t="s">
        <v>4</v>
      </c>
      <c r="C4" s="258" t="s">
        <v>513</v>
      </c>
      <c r="D4" s="259" t="s">
        <v>514</v>
      </c>
      <c r="E4" s="260" t="s">
        <v>515</v>
      </c>
      <c r="F4" s="261" t="s">
        <v>516</v>
      </c>
    </row>
    <row r="5" ht="18" customHeight="1" spans="1:6">
      <c r="A5" s="262">
        <v>1</v>
      </c>
      <c r="B5" s="263" t="s">
        <v>517</v>
      </c>
      <c r="C5" s="264" t="s">
        <v>518</v>
      </c>
      <c r="D5" s="265"/>
      <c r="E5" s="265"/>
      <c r="F5" s="266">
        <v>35387.88</v>
      </c>
    </row>
    <row r="6" ht="18" customHeight="1" spans="1:6">
      <c r="A6" s="262">
        <v>2</v>
      </c>
      <c r="B6" s="263" t="s">
        <v>519</v>
      </c>
      <c r="C6" s="267" t="s">
        <v>520</v>
      </c>
      <c r="D6" s="265"/>
      <c r="E6" s="265">
        <v>-20</v>
      </c>
      <c r="F6" s="266">
        <f t="shared" ref="F6:F38" si="0">F5+D6+E6</f>
        <v>35367.88</v>
      </c>
    </row>
    <row r="7" ht="18" customHeight="1" spans="1:6">
      <c r="A7" s="262">
        <v>3</v>
      </c>
      <c r="B7" s="263" t="s">
        <v>521</v>
      </c>
      <c r="C7" s="267" t="s">
        <v>522</v>
      </c>
      <c r="D7" s="265"/>
      <c r="E7" s="265">
        <v>-200</v>
      </c>
      <c r="F7" s="266">
        <f t="shared" si="0"/>
        <v>35167.88</v>
      </c>
    </row>
    <row r="8" ht="18" customHeight="1" spans="1:6">
      <c r="A8" s="262">
        <v>4</v>
      </c>
      <c r="B8" s="268" t="s">
        <v>523</v>
      </c>
      <c r="C8" s="267" t="s">
        <v>520</v>
      </c>
      <c r="D8" s="265"/>
      <c r="E8" s="265">
        <v>-20</v>
      </c>
      <c r="F8" s="266">
        <f t="shared" si="0"/>
        <v>35147.88</v>
      </c>
    </row>
    <row r="9" ht="18" customHeight="1" spans="1:6">
      <c r="A9" s="262">
        <v>5</v>
      </c>
      <c r="B9" s="268" t="s">
        <v>524</v>
      </c>
      <c r="C9" s="267" t="s">
        <v>520</v>
      </c>
      <c r="D9" s="265"/>
      <c r="E9" s="265">
        <v>-20</v>
      </c>
      <c r="F9" s="266">
        <f t="shared" si="0"/>
        <v>35127.88</v>
      </c>
    </row>
    <row r="10" ht="18" customHeight="1" spans="1:6">
      <c r="A10" s="262">
        <v>6</v>
      </c>
      <c r="B10" s="268" t="s">
        <v>525</v>
      </c>
      <c r="C10" s="267" t="s">
        <v>526</v>
      </c>
      <c r="D10" s="265">
        <v>26.42</v>
      </c>
      <c r="E10" s="265"/>
      <c r="F10" s="266">
        <f t="shared" si="0"/>
        <v>35154.3</v>
      </c>
    </row>
    <row r="11" ht="18" customHeight="1" spans="1:6">
      <c r="A11" s="262">
        <v>7</v>
      </c>
      <c r="B11" s="268" t="s">
        <v>527</v>
      </c>
      <c r="C11" s="267" t="s">
        <v>520</v>
      </c>
      <c r="D11" s="265"/>
      <c r="E11" s="265">
        <v>-20</v>
      </c>
      <c r="F11" s="266">
        <f t="shared" si="0"/>
        <v>35134.3</v>
      </c>
    </row>
    <row r="12" ht="18" customHeight="1" spans="1:6">
      <c r="A12" s="262">
        <v>8</v>
      </c>
      <c r="B12" s="268" t="s">
        <v>528</v>
      </c>
      <c r="C12" s="267" t="s">
        <v>520</v>
      </c>
      <c r="D12" s="265"/>
      <c r="E12" s="265">
        <v>-20</v>
      </c>
      <c r="F12" s="266">
        <f t="shared" si="0"/>
        <v>35114.3</v>
      </c>
    </row>
    <row r="13" ht="18" customHeight="1" spans="1:6">
      <c r="A13" s="262">
        <v>9</v>
      </c>
      <c r="B13" s="268" t="s">
        <v>529</v>
      </c>
      <c r="C13" s="267" t="s">
        <v>520</v>
      </c>
      <c r="D13" s="265"/>
      <c r="E13" s="265">
        <v>-20</v>
      </c>
      <c r="F13" s="266">
        <f t="shared" si="0"/>
        <v>35094.3</v>
      </c>
    </row>
    <row r="14" ht="18" customHeight="1" spans="1:6">
      <c r="A14" s="262">
        <v>10</v>
      </c>
      <c r="B14" s="263" t="s">
        <v>530</v>
      </c>
      <c r="C14" s="267" t="s">
        <v>526</v>
      </c>
      <c r="D14" s="265">
        <v>26.93</v>
      </c>
      <c r="E14" s="265"/>
      <c r="F14" s="266">
        <f t="shared" si="0"/>
        <v>35121.23</v>
      </c>
    </row>
    <row r="15" ht="18" customHeight="1" spans="1:6">
      <c r="A15" s="262">
        <v>11</v>
      </c>
      <c r="B15" s="263" t="s">
        <v>531</v>
      </c>
      <c r="C15" s="267" t="s">
        <v>520</v>
      </c>
      <c r="D15" s="269"/>
      <c r="E15" s="269">
        <v>-20</v>
      </c>
      <c r="F15" s="266">
        <f t="shared" si="0"/>
        <v>35101.23</v>
      </c>
    </row>
    <row r="16" ht="18" customHeight="1" spans="1:6">
      <c r="A16" s="262">
        <v>12</v>
      </c>
      <c r="B16" s="270" t="s">
        <v>532</v>
      </c>
      <c r="C16" s="267" t="s">
        <v>520</v>
      </c>
      <c r="D16" s="271"/>
      <c r="E16" s="271"/>
      <c r="F16" s="266">
        <f t="shared" si="0"/>
        <v>35101.23</v>
      </c>
    </row>
    <row r="17" ht="18" customHeight="1" spans="1:6">
      <c r="A17" s="262">
        <v>13</v>
      </c>
      <c r="B17" s="270" t="s">
        <v>533</v>
      </c>
      <c r="C17" s="267" t="s">
        <v>520</v>
      </c>
      <c r="D17" s="271"/>
      <c r="E17" s="271"/>
      <c r="F17" s="266">
        <f t="shared" si="0"/>
        <v>35101.23</v>
      </c>
    </row>
    <row r="18" ht="18" customHeight="1" spans="1:6">
      <c r="A18" s="262">
        <v>14</v>
      </c>
      <c r="B18" s="270" t="s">
        <v>534</v>
      </c>
      <c r="C18" s="267" t="s">
        <v>526</v>
      </c>
      <c r="D18" s="271">
        <v>26.91</v>
      </c>
      <c r="E18" s="271"/>
      <c r="F18" s="266">
        <f t="shared" si="0"/>
        <v>35128.14</v>
      </c>
    </row>
    <row r="19" ht="18" customHeight="1" spans="1:6">
      <c r="A19" s="262">
        <v>15</v>
      </c>
      <c r="B19" s="272" t="s">
        <v>535</v>
      </c>
      <c r="C19" s="267" t="s">
        <v>520</v>
      </c>
      <c r="D19" s="271"/>
      <c r="E19" s="208"/>
      <c r="F19" s="266">
        <f t="shared" si="0"/>
        <v>35128.14</v>
      </c>
    </row>
    <row r="20" ht="18" customHeight="1" spans="1:6">
      <c r="A20" s="262">
        <v>16</v>
      </c>
      <c r="B20" s="272" t="s">
        <v>536</v>
      </c>
      <c r="C20" s="267" t="s">
        <v>520</v>
      </c>
      <c r="D20" s="271"/>
      <c r="E20" s="208"/>
      <c r="F20" s="266">
        <f t="shared" si="0"/>
        <v>35128.14</v>
      </c>
    </row>
    <row r="21" ht="18" customHeight="1" spans="1:6">
      <c r="A21" s="262">
        <v>17</v>
      </c>
      <c r="B21" s="272" t="s">
        <v>537</v>
      </c>
      <c r="C21" s="267" t="s">
        <v>520</v>
      </c>
      <c r="D21" s="271"/>
      <c r="E21" s="208"/>
      <c r="F21" s="266">
        <f t="shared" si="0"/>
        <v>35128.14</v>
      </c>
    </row>
    <row r="22" ht="18" customHeight="1" spans="1:6">
      <c r="A22" s="262">
        <v>18</v>
      </c>
      <c r="B22" s="272" t="s">
        <v>538</v>
      </c>
      <c r="C22" s="267" t="s">
        <v>526</v>
      </c>
      <c r="D22" s="271">
        <v>26.64</v>
      </c>
      <c r="E22" s="208"/>
      <c r="F22" s="266">
        <f t="shared" si="0"/>
        <v>35154.78</v>
      </c>
    </row>
    <row r="23" ht="18" customHeight="1" spans="1:6">
      <c r="A23" s="262">
        <v>19</v>
      </c>
      <c r="B23" s="272" t="s">
        <v>539</v>
      </c>
      <c r="C23" s="267" t="s">
        <v>522</v>
      </c>
      <c r="D23" s="271"/>
      <c r="E23" s="208">
        <v>-200</v>
      </c>
      <c r="F23" s="266">
        <f t="shared" si="0"/>
        <v>34954.78</v>
      </c>
    </row>
    <row r="24" ht="18" customHeight="1" spans="1:6">
      <c r="A24" s="262">
        <v>20</v>
      </c>
      <c r="B24" s="272" t="s">
        <v>540</v>
      </c>
      <c r="C24" s="267" t="s">
        <v>526</v>
      </c>
      <c r="D24" s="271">
        <v>26.24</v>
      </c>
      <c r="E24" s="208"/>
      <c r="F24" s="266">
        <f t="shared" si="0"/>
        <v>34981.02</v>
      </c>
    </row>
    <row r="25" ht="18" customHeight="1" spans="1:6">
      <c r="A25" s="262">
        <v>21</v>
      </c>
      <c r="B25" s="272" t="s">
        <v>541</v>
      </c>
      <c r="C25" s="267" t="s">
        <v>526</v>
      </c>
      <c r="D25" s="271">
        <v>26.82</v>
      </c>
      <c r="E25" s="208"/>
      <c r="F25" s="266">
        <f t="shared" si="0"/>
        <v>35007.84</v>
      </c>
    </row>
    <row r="26" ht="18" customHeight="1" spans="1:6">
      <c r="A26" s="262">
        <v>22</v>
      </c>
      <c r="B26" s="272" t="s">
        <v>542</v>
      </c>
      <c r="C26" s="205" t="s">
        <v>543</v>
      </c>
      <c r="D26" s="271">
        <v>10000</v>
      </c>
      <c r="E26" s="208"/>
      <c r="F26" s="266">
        <f t="shared" si="0"/>
        <v>45007.84</v>
      </c>
    </row>
    <row r="27" ht="18" customHeight="1" spans="1:6">
      <c r="A27" s="262">
        <v>23</v>
      </c>
      <c r="B27" s="272" t="s">
        <v>544</v>
      </c>
      <c r="C27" s="267" t="s">
        <v>526</v>
      </c>
      <c r="D27" s="271">
        <v>31.67</v>
      </c>
      <c r="E27" s="208"/>
      <c r="F27" s="266">
        <f t="shared" si="0"/>
        <v>45039.51</v>
      </c>
    </row>
    <row r="28" ht="18" customHeight="1" spans="1:6">
      <c r="A28" s="262">
        <v>24</v>
      </c>
      <c r="B28" s="272" t="s">
        <v>545</v>
      </c>
      <c r="C28" s="267" t="s">
        <v>526</v>
      </c>
      <c r="D28" s="271">
        <v>34.15</v>
      </c>
      <c r="E28" s="208"/>
      <c r="F28" s="266">
        <f t="shared" si="0"/>
        <v>45073.66</v>
      </c>
    </row>
    <row r="29" ht="18" customHeight="1" spans="1:6">
      <c r="A29" s="262">
        <v>25</v>
      </c>
      <c r="B29" s="272" t="s">
        <v>546</v>
      </c>
      <c r="C29" s="267" t="s">
        <v>547</v>
      </c>
      <c r="D29" s="271">
        <v>5000</v>
      </c>
      <c r="E29" s="208"/>
      <c r="F29" s="266">
        <f t="shared" si="0"/>
        <v>50073.66</v>
      </c>
    </row>
    <row r="30" ht="18" customHeight="1" spans="1:6">
      <c r="A30" s="262">
        <v>26</v>
      </c>
      <c r="B30" s="205" t="s">
        <v>397</v>
      </c>
      <c r="C30" s="267" t="s">
        <v>526</v>
      </c>
      <c r="D30" s="271">
        <v>36.81</v>
      </c>
      <c r="E30" s="208"/>
      <c r="F30" s="266">
        <f t="shared" si="0"/>
        <v>50110.47</v>
      </c>
    </row>
    <row r="31" ht="18" customHeight="1" spans="1:6">
      <c r="A31" s="262">
        <v>27</v>
      </c>
      <c r="B31" s="205" t="s">
        <v>548</v>
      </c>
      <c r="C31" s="267" t="s">
        <v>526</v>
      </c>
      <c r="D31" s="271">
        <v>38.42</v>
      </c>
      <c r="E31" s="208"/>
      <c r="F31" s="266">
        <f t="shared" si="0"/>
        <v>50148.89</v>
      </c>
    </row>
    <row r="32" ht="18" customHeight="1" spans="1:6">
      <c r="A32" s="262">
        <v>28</v>
      </c>
      <c r="B32" s="205" t="s">
        <v>549</v>
      </c>
      <c r="C32" s="273" t="s">
        <v>550</v>
      </c>
      <c r="D32" s="274"/>
      <c r="E32" s="208">
        <v>-200</v>
      </c>
      <c r="F32" s="266">
        <f t="shared" si="0"/>
        <v>49948.89</v>
      </c>
    </row>
    <row r="33" ht="20.1" customHeight="1" spans="1:6">
      <c r="A33" s="262">
        <v>29</v>
      </c>
      <c r="B33" s="273" t="s">
        <v>405</v>
      </c>
      <c r="C33" s="267" t="s">
        <v>526</v>
      </c>
      <c r="D33" s="274"/>
      <c r="E33" s="274"/>
      <c r="F33" s="266">
        <f t="shared" si="0"/>
        <v>49948.89</v>
      </c>
    </row>
    <row r="34" ht="20.1" customHeight="1" spans="1:6">
      <c r="A34" s="262">
        <v>30</v>
      </c>
      <c r="B34" s="273"/>
      <c r="C34" s="274"/>
      <c r="D34" s="274"/>
      <c r="E34" s="274"/>
      <c r="F34" s="266">
        <f t="shared" si="0"/>
        <v>49948.89</v>
      </c>
    </row>
    <row r="35" ht="20.1" customHeight="1" spans="1:6">
      <c r="A35" s="262"/>
      <c r="B35" s="273"/>
      <c r="C35" s="274"/>
      <c r="D35" s="274"/>
      <c r="E35" s="274"/>
      <c r="F35" s="266">
        <f t="shared" si="0"/>
        <v>49948.89</v>
      </c>
    </row>
    <row r="36" ht="20.1" customHeight="1" spans="1:6">
      <c r="A36" s="262"/>
      <c r="B36" s="273"/>
      <c r="C36" s="274"/>
      <c r="D36" s="274"/>
      <c r="E36" s="274"/>
      <c r="F36" s="266">
        <f t="shared" si="0"/>
        <v>49948.89</v>
      </c>
    </row>
    <row r="37" ht="20.1" customHeight="1" spans="1:6">
      <c r="A37" s="262"/>
      <c r="B37" s="273"/>
      <c r="C37" s="274"/>
      <c r="D37" s="274"/>
      <c r="E37" s="274"/>
      <c r="F37" s="266">
        <f t="shared" si="0"/>
        <v>49948.89</v>
      </c>
    </row>
    <row r="38" ht="20.1" customHeight="1" spans="1:6">
      <c r="A38" s="275"/>
      <c r="B38" s="276"/>
      <c r="C38" s="276"/>
      <c r="D38" s="276"/>
      <c r="E38" s="276"/>
      <c r="F38" s="266">
        <f t="shared" si="0"/>
        <v>49948.89</v>
      </c>
    </row>
  </sheetData>
  <mergeCells count="1">
    <mergeCell ref="B1:F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46" workbookViewId="0">
      <selection activeCell="I28" sqref="I28"/>
    </sheetView>
  </sheetViews>
  <sheetFormatPr defaultColWidth="10" defaultRowHeight="13.5"/>
  <cols>
    <col min="1" max="1" width="6.6283185840708" customWidth="1"/>
    <col min="2" max="2" width="13.1238938053097" customWidth="1"/>
    <col min="3" max="3" width="16.2477876106195" customWidth="1"/>
    <col min="4" max="4" width="15.1238938053097" customWidth="1"/>
    <col min="5" max="5" width="6.87610619469027" customWidth="1"/>
    <col min="6" max="6" width="12.8761061946903" customWidth="1"/>
    <col min="7" max="7" width="44.5044247787611" customWidth="1"/>
    <col min="8" max="8" width="15.5044247787611" customWidth="1"/>
    <col min="9" max="9" width="10.5044247787611" customWidth="1"/>
    <col min="10" max="10" width="4.87610619469027" customWidth="1"/>
  </cols>
  <sheetData>
    <row r="1" spans="1:9">
      <c r="A1" s="188" t="s">
        <v>551</v>
      </c>
      <c r="B1" s="188"/>
      <c r="C1" s="188"/>
      <c r="D1" s="188"/>
      <c r="E1" s="188"/>
      <c r="F1" s="188"/>
      <c r="G1" s="188"/>
      <c r="H1" s="188"/>
      <c r="I1" s="188"/>
    </row>
    <row r="2" spans="1:9">
      <c r="A2" s="189"/>
      <c r="B2" s="189"/>
      <c r="C2" s="189"/>
      <c r="D2" s="189"/>
      <c r="E2" s="189"/>
      <c r="F2" s="189"/>
      <c r="G2" s="189"/>
      <c r="H2" s="189"/>
      <c r="I2" s="189"/>
    </row>
    <row r="3" ht="36" customHeight="1" spans="1:9">
      <c r="A3" s="190" t="s">
        <v>1</v>
      </c>
      <c r="B3" s="190"/>
      <c r="C3" s="191" t="s">
        <v>552</v>
      </c>
      <c r="D3" s="191"/>
      <c r="E3" s="191"/>
      <c r="F3" s="191"/>
      <c r="G3" s="191"/>
      <c r="H3" s="192"/>
      <c r="I3" s="192"/>
    </row>
    <row r="4" ht="20.25" spans="1:9">
      <c r="A4" s="193" t="s">
        <v>553</v>
      </c>
      <c r="B4" s="194"/>
      <c r="C4" s="194"/>
      <c r="D4" s="195"/>
      <c r="E4" s="193" t="s">
        <v>554</v>
      </c>
      <c r="F4" s="194"/>
      <c r="G4" s="194"/>
      <c r="H4" s="194"/>
      <c r="I4" s="195"/>
    </row>
    <row r="5" s="187" customFormat="1" ht="20.1" customHeight="1" spans="1:9">
      <c r="A5" s="196" t="s">
        <v>3</v>
      </c>
      <c r="B5" s="197" t="s">
        <v>555</v>
      </c>
      <c r="C5" s="198" t="s">
        <v>556</v>
      </c>
      <c r="D5" s="199" t="s">
        <v>557</v>
      </c>
      <c r="E5" s="200" t="s">
        <v>3</v>
      </c>
      <c r="F5" s="201" t="s">
        <v>555</v>
      </c>
      <c r="G5" s="202" t="s">
        <v>558</v>
      </c>
      <c r="H5" s="203" t="s">
        <v>557</v>
      </c>
      <c r="I5" s="242" t="s">
        <v>559</v>
      </c>
    </row>
    <row r="6" ht="20.1" customHeight="1" spans="1:9">
      <c r="A6" s="204">
        <v>1</v>
      </c>
      <c r="B6" s="205" t="s">
        <v>560</v>
      </c>
      <c r="C6" s="205" t="s">
        <v>561</v>
      </c>
      <c r="D6" s="206">
        <v>100</v>
      </c>
      <c r="E6" s="207">
        <v>1</v>
      </c>
      <c r="F6" s="205" t="s">
        <v>562</v>
      </c>
      <c r="G6" s="205" t="s">
        <v>563</v>
      </c>
      <c r="H6" s="208">
        <v>-200</v>
      </c>
      <c r="I6" s="243" t="s">
        <v>273</v>
      </c>
    </row>
    <row r="7" ht="20.1" customHeight="1" spans="1:9">
      <c r="A7" s="204">
        <v>2</v>
      </c>
      <c r="B7" s="205" t="s">
        <v>560</v>
      </c>
      <c r="C7" s="205" t="s">
        <v>23</v>
      </c>
      <c r="D7" s="206">
        <v>100</v>
      </c>
      <c r="E7" s="207">
        <v>2</v>
      </c>
      <c r="F7" s="205" t="s">
        <v>564</v>
      </c>
      <c r="G7" s="205" t="s">
        <v>565</v>
      </c>
      <c r="H7" s="208">
        <v>-350</v>
      </c>
      <c r="I7" s="243" t="s">
        <v>566</v>
      </c>
    </row>
    <row r="8" ht="20.1" customHeight="1" spans="1:9">
      <c r="A8" s="204">
        <v>3</v>
      </c>
      <c r="B8" s="205" t="s">
        <v>560</v>
      </c>
      <c r="C8" s="205" t="s">
        <v>567</v>
      </c>
      <c r="D8" s="206">
        <v>100</v>
      </c>
      <c r="E8" s="207">
        <v>3</v>
      </c>
      <c r="F8" s="205" t="s">
        <v>568</v>
      </c>
      <c r="G8" s="205" t="s">
        <v>569</v>
      </c>
      <c r="H8" s="208">
        <v>-350</v>
      </c>
      <c r="I8" s="243" t="s">
        <v>570</v>
      </c>
    </row>
    <row r="9" ht="20.1" customHeight="1" spans="1:9">
      <c r="A9" s="204">
        <v>4</v>
      </c>
      <c r="B9" s="205" t="s">
        <v>560</v>
      </c>
      <c r="C9" s="205" t="s">
        <v>571</v>
      </c>
      <c r="D9" s="206">
        <v>100</v>
      </c>
      <c r="E9" s="207">
        <v>4</v>
      </c>
      <c r="F9" s="205" t="s">
        <v>540</v>
      </c>
      <c r="G9" s="205" t="s">
        <v>572</v>
      </c>
      <c r="H9" s="208">
        <v>-350</v>
      </c>
      <c r="I9" s="243" t="s">
        <v>573</v>
      </c>
    </row>
    <row r="10" ht="20.1" customHeight="1" spans="1:9">
      <c r="A10" s="204">
        <v>5</v>
      </c>
      <c r="B10" s="205" t="s">
        <v>560</v>
      </c>
      <c r="C10" s="205" t="s">
        <v>20</v>
      </c>
      <c r="D10" s="206">
        <v>100</v>
      </c>
      <c r="E10" s="207">
        <v>5</v>
      </c>
      <c r="F10" s="205" t="s">
        <v>574</v>
      </c>
      <c r="G10" s="205" t="s">
        <v>575</v>
      </c>
      <c r="H10" s="208">
        <v>-200</v>
      </c>
      <c r="I10" s="243" t="s">
        <v>36</v>
      </c>
    </row>
    <row r="11" ht="20.1" customHeight="1" spans="1:9">
      <c r="A11" s="204">
        <v>6</v>
      </c>
      <c r="B11" s="205" t="s">
        <v>560</v>
      </c>
      <c r="C11" s="205" t="s">
        <v>29</v>
      </c>
      <c r="D11" s="206">
        <v>100</v>
      </c>
      <c r="E11" s="207">
        <v>6</v>
      </c>
      <c r="F11" s="205" t="s">
        <v>576</v>
      </c>
      <c r="G11" s="205" t="s">
        <v>577</v>
      </c>
      <c r="H11" s="208">
        <v>-350</v>
      </c>
      <c r="I11" s="243" t="s">
        <v>80</v>
      </c>
    </row>
    <row r="12" ht="20.1" customHeight="1" spans="1:9">
      <c r="A12" s="204">
        <v>7</v>
      </c>
      <c r="B12" s="205" t="s">
        <v>560</v>
      </c>
      <c r="C12" s="205" t="s">
        <v>578</v>
      </c>
      <c r="D12" s="206">
        <v>100</v>
      </c>
      <c r="E12" s="207">
        <v>7</v>
      </c>
      <c r="F12" s="205" t="s">
        <v>579</v>
      </c>
      <c r="G12" s="205" t="s">
        <v>580</v>
      </c>
      <c r="H12" s="208">
        <v>-350</v>
      </c>
      <c r="I12" s="243" t="s">
        <v>349</v>
      </c>
    </row>
    <row r="13" ht="20.1" customHeight="1" spans="1:9">
      <c r="A13" s="204">
        <v>8</v>
      </c>
      <c r="B13" s="205" t="s">
        <v>560</v>
      </c>
      <c r="C13" s="205" t="s">
        <v>101</v>
      </c>
      <c r="D13" s="206">
        <v>100</v>
      </c>
      <c r="E13" s="207">
        <v>8</v>
      </c>
      <c r="F13" s="209" t="s">
        <v>581</v>
      </c>
      <c r="G13" s="210" t="s">
        <v>582</v>
      </c>
      <c r="H13" s="211">
        <v>-276</v>
      </c>
      <c r="I13" s="244" t="s">
        <v>583</v>
      </c>
    </row>
    <row r="14" ht="20.1" customHeight="1" spans="1:9">
      <c r="A14" s="204">
        <v>9</v>
      </c>
      <c r="B14" s="205" t="s">
        <v>560</v>
      </c>
      <c r="C14" s="205" t="s">
        <v>36</v>
      </c>
      <c r="D14" s="206">
        <v>100</v>
      </c>
      <c r="E14" s="207">
        <v>9</v>
      </c>
      <c r="F14" s="205" t="s">
        <v>584</v>
      </c>
      <c r="G14" s="205" t="s">
        <v>585</v>
      </c>
      <c r="H14" s="208">
        <v>-350</v>
      </c>
      <c r="I14" s="243" t="s">
        <v>586</v>
      </c>
    </row>
    <row r="15" ht="20.1" customHeight="1" spans="1:9">
      <c r="A15" s="204">
        <v>10</v>
      </c>
      <c r="B15" s="205" t="s">
        <v>560</v>
      </c>
      <c r="C15" s="205" t="s">
        <v>45</v>
      </c>
      <c r="D15" s="206">
        <v>100</v>
      </c>
      <c r="E15" s="207">
        <v>10</v>
      </c>
      <c r="F15" s="205" t="s">
        <v>587</v>
      </c>
      <c r="G15" s="205" t="s">
        <v>588</v>
      </c>
      <c r="H15" s="208">
        <v>-350</v>
      </c>
      <c r="I15" s="243" t="s">
        <v>25</v>
      </c>
    </row>
    <row r="16" ht="20.1" customHeight="1" spans="1:9">
      <c r="A16" s="204">
        <v>11</v>
      </c>
      <c r="B16" s="205" t="s">
        <v>560</v>
      </c>
      <c r="C16" s="205" t="s">
        <v>19</v>
      </c>
      <c r="D16" s="206">
        <v>100</v>
      </c>
      <c r="E16" s="207">
        <v>11</v>
      </c>
      <c r="F16" s="205" t="s">
        <v>589</v>
      </c>
      <c r="G16" s="205" t="s">
        <v>590</v>
      </c>
      <c r="H16" s="208">
        <v>-350</v>
      </c>
      <c r="I16" s="243" t="s">
        <v>591</v>
      </c>
    </row>
    <row r="17" ht="20.1" customHeight="1" spans="1:9">
      <c r="A17" s="204">
        <v>12</v>
      </c>
      <c r="B17" s="205" t="s">
        <v>560</v>
      </c>
      <c r="C17" s="205" t="s">
        <v>90</v>
      </c>
      <c r="D17" s="206">
        <v>100</v>
      </c>
      <c r="E17" s="207">
        <v>12</v>
      </c>
      <c r="F17" s="205" t="s">
        <v>592</v>
      </c>
      <c r="G17" s="205" t="s">
        <v>593</v>
      </c>
      <c r="H17" s="208">
        <v>-300</v>
      </c>
      <c r="I17" s="243" t="s">
        <v>594</v>
      </c>
    </row>
    <row r="18" ht="20.1" customHeight="1" spans="1:9">
      <c r="A18" s="204">
        <v>13</v>
      </c>
      <c r="B18" s="205" t="s">
        <v>560</v>
      </c>
      <c r="C18" s="205" t="s">
        <v>586</v>
      </c>
      <c r="D18" s="206">
        <v>100</v>
      </c>
      <c r="E18" s="207">
        <v>13</v>
      </c>
      <c r="F18" s="205" t="s">
        <v>595</v>
      </c>
      <c r="G18" s="205" t="s">
        <v>596</v>
      </c>
      <c r="H18" s="208">
        <v>-350</v>
      </c>
      <c r="I18" s="243" t="s">
        <v>597</v>
      </c>
    </row>
    <row r="19" ht="20.1" customHeight="1" spans="1:9">
      <c r="A19" s="204">
        <v>14</v>
      </c>
      <c r="B19" s="205" t="s">
        <v>560</v>
      </c>
      <c r="C19" s="205" t="s">
        <v>64</v>
      </c>
      <c r="D19" s="206">
        <v>100</v>
      </c>
      <c r="E19" s="207">
        <v>14</v>
      </c>
      <c r="F19" s="205" t="s">
        <v>598</v>
      </c>
      <c r="G19" s="205" t="s">
        <v>599</v>
      </c>
      <c r="H19" s="208">
        <v>-350</v>
      </c>
      <c r="I19" s="243" t="s">
        <v>567</v>
      </c>
    </row>
    <row r="20" ht="20.1" customHeight="1" spans="1:9">
      <c r="A20" s="204">
        <v>15</v>
      </c>
      <c r="B20" s="205" t="s">
        <v>560</v>
      </c>
      <c r="C20" s="205" t="s">
        <v>15</v>
      </c>
      <c r="D20" s="206">
        <v>100</v>
      </c>
      <c r="E20" s="207">
        <v>15</v>
      </c>
      <c r="F20" s="205" t="s">
        <v>600</v>
      </c>
      <c r="G20" s="205" t="s">
        <v>601</v>
      </c>
      <c r="H20" s="208">
        <v>-350</v>
      </c>
      <c r="I20" s="243" t="s">
        <v>187</v>
      </c>
    </row>
    <row r="21" ht="20.1" customHeight="1" spans="1:9">
      <c r="A21" s="204">
        <v>16</v>
      </c>
      <c r="B21" s="205" t="s">
        <v>560</v>
      </c>
      <c r="C21" s="205" t="s">
        <v>597</v>
      </c>
      <c r="D21" s="206">
        <v>100</v>
      </c>
      <c r="E21" s="207">
        <v>16</v>
      </c>
      <c r="F21" s="205" t="s">
        <v>602</v>
      </c>
      <c r="G21" s="205" t="s">
        <v>603</v>
      </c>
      <c r="H21" s="208">
        <v>-350</v>
      </c>
      <c r="I21" s="243" t="s">
        <v>155</v>
      </c>
    </row>
    <row r="22" ht="20.1" customHeight="1" spans="1:9">
      <c r="A22" s="204">
        <v>17</v>
      </c>
      <c r="B22" s="205" t="s">
        <v>560</v>
      </c>
      <c r="C22" s="205" t="s">
        <v>122</v>
      </c>
      <c r="D22" s="206">
        <v>100</v>
      </c>
      <c r="E22" s="207">
        <v>17</v>
      </c>
      <c r="F22" s="205" t="s">
        <v>604</v>
      </c>
      <c r="G22" s="205" t="s">
        <v>605</v>
      </c>
      <c r="H22" s="208">
        <v>-350</v>
      </c>
      <c r="I22" s="243" t="s">
        <v>101</v>
      </c>
    </row>
    <row r="23" ht="20.1" customHeight="1" spans="1:9">
      <c r="A23" s="204">
        <v>18</v>
      </c>
      <c r="B23" s="205" t="s">
        <v>560</v>
      </c>
      <c r="C23" s="205" t="s">
        <v>606</v>
      </c>
      <c r="D23" s="206">
        <v>100</v>
      </c>
      <c r="E23" s="207">
        <v>18</v>
      </c>
      <c r="F23" s="212"/>
      <c r="G23" s="205"/>
      <c r="H23" s="208"/>
      <c r="I23" s="243"/>
    </row>
    <row r="24" ht="20.1" customHeight="1" spans="1:9">
      <c r="A24" s="204">
        <v>19</v>
      </c>
      <c r="B24" s="205" t="s">
        <v>560</v>
      </c>
      <c r="C24" s="205" t="s">
        <v>89</v>
      </c>
      <c r="D24" s="206">
        <v>100</v>
      </c>
      <c r="E24" s="207">
        <v>19</v>
      </c>
      <c r="F24" s="212"/>
      <c r="G24" s="212"/>
      <c r="H24" s="208"/>
      <c r="I24" s="243"/>
    </row>
    <row r="25" ht="20.1" customHeight="1" spans="1:9">
      <c r="A25" s="204">
        <v>20</v>
      </c>
      <c r="B25" s="205" t="s">
        <v>560</v>
      </c>
      <c r="C25" s="205" t="s">
        <v>59</v>
      </c>
      <c r="D25" s="206">
        <v>100</v>
      </c>
      <c r="E25" s="207">
        <v>20</v>
      </c>
      <c r="F25" s="212"/>
      <c r="G25" s="212"/>
      <c r="H25" s="208"/>
      <c r="I25" s="243"/>
    </row>
    <row r="26" ht="20.1" customHeight="1" spans="1:9">
      <c r="A26" s="204">
        <v>21</v>
      </c>
      <c r="B26" s="205" t="s">
        <v>560</v>
      </c>
      <c r="C26" s="205" t="s">
        <v>22</v>
      </c>
      <c r="D26" s="206">
        <v>100</v>
      </c>
      <c r="E26" s="207">
        <v>21</v>
      </c>
      <c r="F26" s="212"/>
      <c r="G26" s="212"/>
      <c r="H26" s="208"/>
      <c r="I26" s="243"/>
    </row>
    <row r="27" ht="20.1" customHeight="1" spans="1:9">
      <c r="A27" s="204">
        <v>22</v>
      </c>
      <c r="B27" s="205" t="s">
        <v>560</v>
      </c>
      <c r="C27" s="205" t="s">
        <v>607</v>
      </c>
      <c r="D27" s="206">
        <v>100</v>
      </c>
      <c r="E27" s="207">
        <v>22</v>
      </c>
      <c r="F27" s="212"/>
      <c r="G27" s="212"/>
      <c r="H27" s="208"/>
      <c r="I27" s="243"/>
    </row>
    <row r="28" ht="20.1" customHeight="1" spans="1:9">
      <c r="A28" s="204">
        <v>23</v>
      </c>
      <c r="B28" s="205" t="s">
        <v>560</v>
      </c>
      <c r="C28" s="205" t="s">
        <v>85</v>
      </c>
      <c r="D28" s="206">
        <v>100</v>
      </c>
      <c r="E28" s="207">
        <v>23</v>
      </c>
      <c r="F28" s="212"/>
      <c r="G28" s="212"/>
      <c r="H28" s="208"/>
      <c r="I28" s="243"/>
    </row>
    <row r="29" ht="20.1" customHeight="1" spans="1:9">
      <c r="A29" s="204">
        <v>24</v>
      </c>
      <c r="B29" s="205" t="s">
        <v>560</v>
      </c>
      <c r="C29" s="205" t="s">
        <v>594</v>
      </c>
      <c r="D29" s="206">
        <v>100</v>
      </c>
      <c r="E29" s="207">
        <v>24</v>
      </c>
      <c r="F29" s="212"/>
      <c r="G29" s="212"/>
      <c r="H29" s="208"/>
      <c r="I29" s="243"/>
    </row>
    <row r="30" ht="20.1" customHeight="1" spans="1:9">
      <c r="A30" s="204">
        <v>25</v>
      </c>
      <c r="B30" s="205" t="s">
        <v>560</v>
      </c>
      <c r="C30" s="205" t="s">
        <v>232</v>
      </c>
      <c r="D30" s="206">
        <v>100</v>
      </c>
      <c r="E30" s="207">
        <v>25</v>
      </c>
      <c r="F30" s="212"/>
      <c r="G30" s="212"/>
      <c r="H30" s="208"/>
      <c r="I30" s="243"/>
    </row>
    <row r="31" ht="20.1" customHeight="1" spans="1:9">
      <c r="A31" s="204">
        <v>26</v>
      </c>
      <c r="B31" s="205" t="s">
        <v>560</v>
      </c>
      <c r="C31" s="205" t="s">
        <v>583</v>
      </c>
      <c r="D31" s="206">
        <v>100</v>
      </c>
      <c r="E31" s="207">
        <v>26</v>
      </c>
      <c r="F31" s="212"/>
      <c r="G31" s="212"/>
      <c r="H31" s="208"/>
      <c r="I31" s="243"/>
    </row>
    <row r="32" ht="20.1" customHeight="1" spans="1:9">
      <c r="A32" s="204">
        <v>27</v>
      </c>
      <c r="B32" s="205" t="s">
        <v>560</v>
      </c>
      <c r="C32" s="205" t="s">
        <v>27</v>
      </c>
      <c r="D32" s="206">
        <v>100</v>
      </c>
      <c r="E32" s="207">
        <v>27</v>
      </c>
      <c r="F32" s="212"/>
      <c r="G32" s="212"/>
      <c r="H32" s="208"/>
      <c r="I32" s="243"/>
    </row>
    <row r="33" ht="20.1" customHeight="1" spans="1:9">
      <c r="A33" s="204">
        <v>28</v>
      </c>
      <c r="B33" s="205" t="s">
        <v>560</v>
      </c>
      <c r="C33" s="205" t="s">
        <v>141</v>
      </c>
      <c r="D33" s="206">
        <v>100</v>
      </c>
      <c r="E33" s="207">
        <v>28</v>
      </c>
      <c r="F33" s="212"/>
      <c r="G33" s="212"/>
      <c r="H33" s="208"/>
      <c r="I33" s="243"/>
    </row>
    <row r="34" ht="20.1" customHeight="1" spans="1:9">
      <c r="A34" s="204">
        <v>29</v>
      </c>
      <c r="B34" s="205" t="s">
        <v>560</v>
      </c>
      <c r="C34" s="205" t="s">
        <v>33</v>
      </c>
      <c r="D34" s="206">
        <v>100</v>
      </c>
      <c r="E34" s="207">
        <v>29</v>
      </c>
      <c r="F34" s="212"/>
      <c r="G34" s="212"/>
      <c r="H34" s="208"/>
      <c r="I34" s="243"/>
    </row>
    <row r="35" ht="20.1" customHeight="1" spans="1:9">
      <c r="A35" s="204">
        <v>30</v>
      </c>
      <c r="B35" s="205" t="s">
        <v>560</v>
      </c>
      <c r="C35" s="205" t="s">
        <v>608</v>
      </c>
      <c r="D35" s="206">
        <v>100</v>
      </c>
      <c r="E35" s="207">
        <v>30</v>
      </c>
      <c r="F35" s="212"/>
      <c r="G35" s="212"/>
      <c r="H35" s="208"/>
      <c r="I35" s="243"/>
    </row>
    <row r="36" ht="20.1" customHeight="1" spans="1:9">
      <c r="A36" s="204">
        <v>31</v>
      </c>
      <c r="B36" s="205" t="s">
        <v>560</v>
      </c>
      <c r="C36" s="205" t="s">
        <v>609</v>
      </c>
      <c r="D36" s="206">
        <v>100</v>
      </c>
      <c r="E36" s="207">
        <v>31</v>
      </c>
      <c r="F36" s="212"/>
      <c r="G36" s="212"/>
      <c r="H36" s="208"/>
      <c r="I36" s="243"/>
    </row>
    <row r="37" ht="20.1" customHeight="1" spans="1:9">
      <c r="A37" s="204">
        <v>32</v>
      </c>
      <c r="B37" s="205" t="s">
        <v>560</v>
      </c>
      <c r="C37" s="205" t="s">
        <v>112</v>
      </c>
      <c r="D37" s="206">
        <v>100</v>
      </c>
      <c r="E37" s="207">
        <v>32</v>
      </c>
      <c r="F37" s="212"/>
      <c r="G37" s="212"/>
      <c r="H37" s="208"/>
      <c r="I37" s="243"/>
    </row>
    <row r="38" ht="20.1" customHeight="1" spans="1:9">
      <c r="A38" s="204">
        <v>33</v>
      </c>
      <c r="B38" s="205" t="s">
        <v>560</v>
      </c>
      <c r="C38" s="205" t="s">
        <v>138</v>
      </c>
      <c r="D38" s="206">
        <v>100</v>
      </c>
      <c r="E38" s="207">
        <v>33</v>
      </c>
      <c r="F38" s="212"/>
      <c r="G38" s="212"/>
      <c r="H38" s="208"/>
      <c r="I38" s="243"/>
    </row>
    <row r="39" ht="20.1" customHeight="1" spans="1:9">
      <c r="A39" s="204">
        <v>34</v>
      </c>
      <c r="B39" s="205" t="s">
        <v>560</v>
      </c>
      <c r="C39" s="205" t="s">
        <v>610</v>
      </c>
      <c r="D39" s="206">
        <v>100</v>
      </c>
      <c r="E39" s="207">
        <v>34</v>
      </c>
      <c r="F39" s="212"/>
      <c r="G39" s="212"/>
      <c r="H39" s="208"/>
      <c r="I39" s="243"/>
    </row>
    <row r="40" ht="20.1" customHeight="1" spans="1:9">
      <c r="A40" s="204">
        <v>35</v>
      </c>
      <c r="B40" s="205" t="s">
        <v>560</v>
      </c>
      <c r="C40" s="205" t="s">
        <v>611</v>
      </c>
      <c r="D40" s="206">
        <v>100</v>
      </c>
      <c r="E40" s="207">
        <v>35</v>
      </c>
      <c r="F40" s="212"/>
      <c r="G40" s="212"/>
      <c r="H40" s="208"/>
      <c r="I40" s="243"/>
    </row>
    <row r="41" ht="20.1" customHeight="1" spans="1:9">
      <c r="A41" s="204">
        <v>36</v>
      </c>
      <c r="B41" s="205" t="s">
        <v>560</v>
      </c>
      <c r="C41" s="205" t="s">
        <v>39</v>
      </c>
      <c r="D41" s="206">
        <v>100</v>
      </c>
      <c r="E41" s="207">
        <v>36</v>
      </c>
      <c r="F41" s="212"/>
      <c r="G41" s="212"/>
      <c r="H41" s="208"/>
      <c r="I41" s="243"/>
    </row>
    <row r="42" ht="20.1" customHeight="1" spans="1:9">
      <c r="A42" s="204">
        <v>37</v>
      </c>
      <c r="B42" s="205" t="s">
        <v>560</v>
      </c>
      <c r="C42" s="205" t="s">
        <v>38</v>
      </c>
      <c r="D42" s="206">
        <v>100</v>
      </c>
      <c r="E42" s="207">
        <v>37</v>
      </c>
      <c r="F42" s="212"/>
      <c r="G42" s="212"/>
      <c r="H42" s="208"/>
      <c r="I42" s="243"/>
    </row>
    <row r="43" ht="20.1" customHeight="1" spans="1:9">
      <c r="A43" s="204">
        <v>38</v>
      </c>
      <c r="B43" s="205" t="s">
        <v>560</v>
      </c>
      <c r="C43" s="205" t="s">
        <v>80</v>
      </c>
      <c r="D43" s="213">
        <v>100</v>
      </c>
      <c r="E43" s="207">
        <v>38</v>
      </c>
      <c r="F43" s="212"/>
      <c r="G43" s="212"/>
      <c r="H43" s="208"/>
      <c r="I43" s="243"/>
    </row>
    <row r="44" ht="20.1" customHeight="1" spans="1:9">
      <c r="A44" s="204">
        <v>39</v>
      </c>
      <c r="B44" s="205" t="s">
        <v>612</v>
      </c>
      <c r="C44" s="205" t="s">
        <v>143</v>
      </c>
      <c r="D44" s="213">
        <v>100</v>
      </c>
      <c r="E44" s="207">
        <v>39</v>
      </c>
      <c r="F44" s="212"/>
      <c r="G44" s="212"/>
      <c r="H44" s="208"/>
      <c r="I44" s="243"/>
    </row>
    <row r="45" ht="20.1" customHeight="1" spans="1:9">
      <c r="A45" s="204">
        <v>40</v>
      </c>
      <c r="B45" s="205" t="s">
        <v>612</v>
      </c>
      <c r="C45" s="205" t="s">
        <v>349</v>
      </c>
      <c r="D45" s="213">
        <v>100</v>
      </c>
      <c r="E45" s="207">
        <v>40</v>
      </c>
      <c r="F45" s="212"/>
      <c r="G45" s="212"/>
      <c r="H45" s="208"/>
      <c r="I45" s="243"/>
    </row>
    <row r="46" ht="20.1" customHeight="1" spans="1:9">
      <c r="A46" s="204">
        <v>41</v>
      </c>
      <c r="B46" s="205" t="s">
        <v>612</v>
      </c>
      <c r="C46" s="205" t="s">
        <v>613</v>
      </c>
      <c r="D46" s="213">
        <v>100</v>
      </c>
      <c r="E46" s="207">
        <v>41</v>
      </c>
      <c r="F46" s="212"/>
      <c r="G46" s="212"/>
      <c r="H46" s="208"/>
      <c r="I46" s="243"/>
    </row>
    <row r="47" ht="20.1" customHeight="1" spans="1:9">
      <c r="A47" s="204">
        <v>42</v>
      </c>
      <c r="B47" s="205" t="s">
        <v>612</v>
      </c>
      <c r="C47" s="205" t="s">
        <v>373</v>
      </c>
      <c r="D47" s="213">
        <v>100</v>
      </c>
      <c r="E47" s="207">
        <v>42</v>
      </c>
      <c r="F47" s="212"/>
      <c r="G47" s="212"/>
      <c r="H47" s="208"/>
      <c r="I47" s="243"/>
    </row>
    <row r="48" ht="20.1" customHeight="1" spans="1:9">
      <c r="A48" s="204">
        <v>43</v>
      </c>
      <c r="B48" s="205" t="s">
        <v>614</v>
      </c>
      <c r="C48" s="205" t="s">
        <v>70</v>
      </c>
      <c r="D48" s="213">
        <v>100</v>
      </c>
      <c r="E48" s="207">
        <v>43</v>
      </c>
      <c r="F48" s="212"/>
      <c r="G48" s="212"/>
      <c r="H48" s="208"/>
      <c r="I48" s="243"/>
    </row>
    <row r="49" ht="20.1" customHeight="1" spans="1:9">
      <c r="A49" s="204">
        <v>44</v>
      </c>
      <c r="B49" s="205" t="s">
        <v>615</v>
      </c>
      <c r="C49" s="205" t="s">
        <v>273</v>
      </c>
      <c r="D49" s="213">
        <v>100</v>
      </c>
      <c r="E49" s="207">
        <v>44</v>
      </c>
      <c r="F49" s="212"/>
      <c r="G49" s="212"/>
      <c r="H49" s="208"/>
      <c r="I49" s="243"/>
    </row>
    <row r="50" ht="35.25" customHeight="1" spans="1:9">
      <c r="A50" s="204">
        <v>45</v>
      </c>
      <c r="B50" s="205" t="s">
        <v>616</v>
      </c>
      <c r="C50" s="214" t="s">
        <v>617</v>
      </c>
      <c r="D50" s="213">
        <v>7084</v>
      </c>
      <c r="E50" s="215"/>
      <c r="F50" s="216"/>
      <c r="G50" s="217"/>
      <c r="H50" s="218"/>
      <c r="I50" s="245"/>
    </row>
    <row r="51" ht="20.1" customHeight="1" spans="1:9">
      <c r="A51" s="204">
        <v>46</v>
      </c>
      <c r="B51" s="205"/>
      <c r="C51" s="205"/>
      <c r="D51" s="213"/>
      <c r="E51" s="219"/>
      <c r="F51" s="220"/>
      <c r="G51" s="220"/>
      <c r="H51" s="221"/>
      <c r="I51" s="246"/>
    </row>
    <row r="52" ht="20.1" customHeight="1" spans="1:9">
      <c r="A52" s="204">
        <v>47</v>
      </c>
      <c r="B52" s="205"/>
      <c r="C52" s="205"/>
      <c r="D52" s="213"/>
      <c r="E52" s="219"/>
      <c r="F52" s="222"/>
      <c r="G52" s="222"/>
      <c r="H52" s="223"/>
      <c r="I52" s="247"/>
    </row>
    <row r="53" ht="20.1" customHeight="1" spans="1:9">
      <c r="A53" s="204">
        <v>48</v>
      </c>
      <c r="B53" s="205"/>
      <c r="C53" s="205"/>
      <c r="D53" s="213"/>
      <c r="E53" s="219"/>
      <c r="F53" s="222"/>
      <c r="G53" s="222"/>
      <c r="H53" s="223"/>
      <c r="I53" s="247"/>
    </row>
    <row r="54" ht="20.1" customHeight="1" spans="1:9">
      <c r="A54" s="204">
        <v>49</v>
      </c>
      <c r="B54" s="205"/>
      <c r="C54" s="205"/>
      <c r="D54" s="213"/>
      <c r="E54" s="219"/>
      <c r="F54" s="222"/>
      <c r="G54" s="222"/>
      <c r="H54" s="223"/>
      <c r="I54" s="247"/>
    </row>
    <row r="55" ht="20.1" customHeight="1" spans="1:9">
      <c r="A55" s="204">
        <v>50</v>
      </c>
      <c r="B55" s="205"/>
      <c r="C55" s="205"/>
      <c r="D55" s="213"/>
      <c r="E55" s="219"/>
      <c r="F55" s="222"/>
      <c r="G55" s="222"/>
      <c r="H55" s="223"/>
      <c r="I55" s="247"/>
    </row>
    <row r="56" ht="20.1" customHeight="1" spans="1:9">
      <c r="A56" s="204">
        <v>51</v>
      </c>
      <c r="B56" s="205"/>
      <c r="C56" s="205"/>
      <c r="D56" s="213"/>
      <c r="E56" s="219"/>
      <c r="F56" s="222"/>
      <c r="G56" s="222"/>
      <c r="H56" s="223"/>
      <c r="I56" s="247"/>
    </row>
    <row r="57" ht="20.1" customHeight="1" spans="1:9">
      <c r="A57" s="204">
        <v>52</v>
      </c>
      <c r="B57" s="205"/>
      <c r="C57" s="205"/>
      <c r="D57" s="213"/>
      <c r="E57" s="207"/>
      <c r="F57" s="212"/>
      <c r="G57" s="212"/>
      <c r="H57" s="208"/>
      <c r="I57" s="243"/>
    </row>
    <row r="58" ht="20.1" customHeight="1" spans="1:9">
      <c r="A58" s="204"/>
      <c r="B58" s="205"/>
      <c r="C58" s="205"/>
      <c r="D58" s="213"/>
      <c r="E58" s="207"/>
      <c r="F58" s="212"/>
      <c r="G58" s="212"/>
      <c r="H58" s="208"/>
      <c r="I58" s="243"/>
    </row>
    <row r="59" ht="20.1" customHeight="1" spans="1:9">
      <c r="A59" s="204"/>
      <c r="B59" s="205"/>
      <c r="C59" s="205"/>
      <c r="D59" s="213"/>
      <c r="E59" s="207"/>
      <c r="F59" s="212"/>
      <c r="G59" s="212"/>
      <c r="H59" s="208"/>
      <c r="I59" s="243"/>
    </row>
    <row r="60" ht="20.1" customHeight="1" spans="1:9">
      <c r="A60" s="204"/>
      <c r="B60" s="205"/>
      <c r="C60" s="205"/>
      <c r="D60" s="213"/>
      <c r="E60" s="207"/>
      <c r="F60" s="212"/>
      <c r="G60" s="212"/>
      <c r="H60" s="208"/>
      <c r="I60" s="243"/>
    </row>
    <row r="61" ht="20.1" customHeight="1" spans="1:9">
      <c r="A61" s="204"/>
      <c r="B61" s="205"/>
      <c r="C61" s="205"/>
      <c r="D61" s="213"/>
      <c r="E61" s="207"/>
      <c r="F61" s="212"/>
      <c r="G61" s="212"/>
      <c r="H61" s="208"/>
      <c r="I61" s="243"/>
    </row>
    <row r="62" ht="20.1" customHeight="1" spans="1:9">
      <c r="A62" s="224"/>
      <c r="B62" s="225"/>
      <c r="C62" s="226" t="s">
        <v>618</v>
      </c>
      <c r="D62" s="227">
        <f>SUM(D6:D61)</f>
        <v>11484</v>
      </c>
      <c r="E62" s="228"/>
      <c r="F62" s="229"/>
      <c r="G62" s="229"/>
      <c r="H62" s="230"/>
      <c r="I62" s="248"/>
    </row>
    <row r="63" ht="24" customHeight="1" spans="1:9">
      <c r="A63" s="224"/>
      <c r="B63" s="231" t="s">
        <v>619</v>
      </c>
      <c r="C63" s="232"/>
      <c r="D63" s="227">
        <f>H63</f>
        <v>-5526</v>
      </c>
      <c r="E63" s="228"/>
      <c r="F63" s="229"/>
      <c r="G63" s="229"/>
      <c r="H63" s="233">
        <f>SUM(H6:H62)</f>
        <v>-5526</v>
      </c>
      <c r="I63" s="248"/>
    </row>
    <row r="64" ht="41.25" customHeight="1" spans="1:9">
      <c r="A64" s="234" t="s">
        <v>620</v>
      </c>
      <c r="B64" s="235"/>
      <c r="C64" s="236"/>
      <c r="D64" s="237">
        <f>SUM(D62:D63)</f>
        <v>5958</v>
      </c>
      <c r="E64" s="238"/>
      <c r="F64" s="239"/>
      <c r="G64" s="240"/>
      <c r="H64" s="241"/>
      <c r="I64" s="249"/>
    </row>
    <row r="65" ht="27.75" customHeight="1" spans="1:9">
      <c r="A65" s="250"/>
      <c r="B65" s="251" t="s">
        <v>621</v>
      </c>
      <c r="C65" s="251"/>
      <c r="D65" s="251"/>
      <c r="E65" s="251"/>
      <c r="F65" s="251"/>
      <c r="G65" s="251"/>
      <c r="H65" s="251"/>
      <c r="I65" s="251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zoomScale="90" zoomScaleNormal="90" workbookViewId="0">
      <selection activeCell="F22" sqref="F22"/>
    </sheetView>
  </sheetViews>
  <sheetFormatPr defaultColWidth="10" defaultRowHeight="13.5"/>
  <cols>
    <col min="2" max="2" width="21.1238938053097" customWidth="1"/>
    <col min="3" max="3" width="30.6283185840708" customWidth="1"/>
    <col min="4" max="4" width="23.2477876106195" customWidth="1"/>
    <col min="5" max="6" width="18.5044247787611" customWidth="1"/>
    <col min="7" max="7" width="19.3716814159292" style="21" customWidth="1"/>
    <col min="8" max="8" width="16.5044247787611" customWidth="1"/>
    <col min="9" max="9" width="17.7522123893805" style="21" customWidth="1"/>
    <col min="10" max="10" width="21.8761061946903" customWidth="1"/>
    <col min="11" max="11" width="3.50442477876106" style="21" customWidth="1"/>
    <col min="12" max="12" width="13.6283185840708" customWidth="1"/>
    <col min="13" max="13" width="11.3716814159292" style="21" customWidth="1"/>
    <col min="14" max="14" width="7.50442477876106" customWidth="1"/>
    <col min="15" max="15" width="12.6283185840708" customWidth="1"/>
  </cols>
  <sheetData>
    <row r="1" ht="54.75" customHeight="1" spans="1:10">
      <c r="A1" s="22" t="s">
        <v>622</v>
      </c>
      <c r="B1" s="22"/>
      <c r="C1" s="22"/>
      <c r="D1" s="22"/>
      <c r="E1" s="22"/>
      <c r="F1" s="22"/>
      <c r="G1" s="22"/>
      <c r="H1" s="22"/>
      <c r="I1" s="22"/>
      <c r="J1" s="22"/>
    </row>
    <row r="2" ht="18.4" spans="1:10">
      <c r="A2" s="23" t="s">
        <v>6</v>
      </c>
      <c r="B2" s="24" t="s">
        <v>5</v>
      </c>
      <c r="C2" s="25" t="s">
        <v>623</v>
      </c>
      <c r="D2" s="26" t="s">
        <v>624</v>
      </c>
      <c r="E2" s="27" t="s">
        <v>625</v>
      </c>
      <c r="F2" s="28" t="s">
        <v>626</v>
      </c>
      <c r="G2" s="29"/>
      <c r="H2" s="30" t="s">
        <v>627</v>
      </c>
      <c r="I2" s="29"/>
      <c r="J2" s="169"/>
    </row>
    <row r="3" ht="18.4" spans="1:10">
      <c r="A3" s="31"/>
      <c r="B3" s="32"/>
      <c r="C3" s="33"/>
      <c r="D3" s="34" t="s">
        <v>628</v>
      </c>
      <c r="E3" s="35" t="s">
        <v>4</v>
      </c>
      <c r="F3" s="36" t="s">
        <v>460</v>
      </c>
      <c r="G3" s="37" t="s">
        <v>629</v>
      </c>
      <c r="H3" s="38" t="s">
        <v>460</v>
      </c>
      <c r="I3" s="170" t="s">
        <v>629</v>
      </c>
      <c r="J3" s="167"/>
    </row>
    <row r="4" ht="24.95" customHeight="1" spans="1:10">
      <c r="A4" s="39" t="s">
        <v>630</v>
      </c>
      <c r="B4" s="40" t="s">
        <v>631</v>
      </c>
      <c r="C4" s="41" t="s">
        <v>632</v>
      </c>
      <c r="D4" s="42"/>
      <c r="E4" s="43" t="s">
        <v>633</v>
      </c>
      <c r="F4" s="44"/>
      <c r="G4" s="45"/>
      <c r="H4" s="44"/>
      <c r="I4" s="86"/>
      <c r="J4" s="167"/>
    </row>
    <row r="5" ht="24.95" customHeight="1" spans="1:10">
      <c r="A5" s="46"/>
      <c r="B5" s="47" t="s">
        <v>634</v>
      </c>
      <c r="C5" s="48" t="s">
        <v>635</v>
      </c>
      <c r="D5" s="49"/>
      <c r="E5" s="50" t="s">
        <v>636</v>
      </c>
      <c r="F5" s="51"/>
      <c r="G5" s="52"/>
      <c r="H5" s="53"/>
      <c r="I5" s="87"/>
      <c r="J5" s="167"/>
    </row>
    <row r="6" ht="24.95" customHeight="1" spans="1:10">
      <c r="A6" s="54"/>
      <c r="B6" s="55"/>
      <c r="C6" s="56"/>
      <c r="D6" s="57"/>
      <c r="E6" s="58"/>
      <c r="F6" s="59"/>
      <c r="G6" s="60"/>
      <c r="H6" s="61"/>
      <c r="I6" s="171"/>
      <c r="J6" s="167"/>
    </row>
    <row r="7" ht="24.95" customHeight="1" spans="1:10">
      <c r="A7" s="62" t="s">
        <v>637</v>
      </c>
      <c r="B7" s="40" t="s">
        <v>638</v>
      </c>
      <c r="C7" s="42" t="s">
        <v>639</v>
      </c>
      <c r="D7" s="42"/>
      <c r="E7" s="63" t="s">
        <v>640</v>
      </c>
      <c r="F7" s="64"/>
      <c r="G7" s="65"/>
      <c r="H7" s="64"/>
      <c r="I7" s="65"/>
      <c r="J7" s="167"/>
    </row>
    <row r="8" ht="24.95" customHeight="1" spans="1:10">
      <c r="A8" s="66"/>
      <c r="B8" s="67"/>
      <c r="C8" s="68"/>
      <c r="D8" s="69"/>
      <c r="E8" s="70"/>
      <c r="F8" s="71"/>
      <c r="G8" s="72"/>
      <c r="H8" s="71"/>
      <c r="I8" s="72"/>
      <c r="J8" s="167"/>
    </row>
    <row r="9" ht="24.95" customHeight="1" spans="1:10">
      <c r="A9" s="39" t="s">
        <v>641</v>
      </c>
      <c r="B9" s="40" t="s">
        <v>642</v>
      </c>
      <c r="C9" s="41" t="s">
        <v>643</v>
      </c>
      <c r="D9" s="42"/>
      <c r="E9" s="73" t="s">
        <v>644</v>
      </c>
      <c r="F9" s="44"/>
      <c r="G9" s="74"/>
      <c r="H9" s="44"/>
      <c r="I9" s="86"/>
      <c r="J9" s="167"/>
    </row>
    <row r="10" ht="24.95" customHeight="1" spans="1:10">
      <c r="A10" s="46"/>
      <c r="B10" s="75" t="s">
        <v>645</v>
      </c>
      <c r="C10" s="76" t="s">
        <v>646</v>
      </c>
      <c r="D10" s="49"/>
      <c r="E10" s="77" t="s">
        <v>644</v>
      </c>
      <c r="F10" s="53"/>
      <c r="G10" s="52"/>
      <c r="H10" s="53"/>
      <c r="I10" s="87"/>
      <c r="J10" s="167"/>
    </row>
    <row r="11" ht="24.95" customHeight="1" spans="1:10">
      <c r="A11" s="54"/>
      <c r="B11" s="78"/>
      <c r="C11" s="79"/>
      <c r="D11" s="80"/>
      <c r="E11" s="81"/>
      <c r="F11" s="71"/>
      <c r="G11" s="82"/>
      <c r="H11" s="71"/>
      <c r="I11" s="72"/>
      <c r="J11" s="167"/>
    </row>
    <row r="12" ht="24.95" customHeight="1" spans="1:10">
      <c r="A12" s="46" t="s">
        <v>647</v>
      </c>
      <c r="B12" s="75" t="s">
        <v>648</v>
      </c>
      <c r="C12" s="76" t="s">
        <v>649</v>
      </c>
      <c r="D12" s="49"/>
      <c r="E12" s="83" t="s">
        <v>650</v>
      </c>
      <c r="F12" s="51"/>
      <c r="G12" s="84"/>
      <c r="H12" s="51"/>
      <c r="I12" s="84"/>
      <c r="J12" s="167"/>
    </row>
    <row r="13" ht="24.95" customHeight="1" spans="1:10">
      <c r="A13" s="54"/>
      <c r="B13" s="78"/>
      <c r="C13" s="79"/>
      <c r="D13" s="80"/>
      <c r="E13" s="85"/>
      <c r="F13" s="71"/>
      <c r="G13" s="72"/>
      <c r="H13" s="71"/>
      <c r="I13" s="72"/>
      <c r="J13" s="167"/>
    </row>
    <row r="14" ht="24.95" customHeight="1" spans="1:10">
      <c r="A14" s="39" t="s">
        <v>651</v>
      </c>
      <c r="B14" s="40" t="s">
        <v>652</v>
      </c>
      <c r="C14" s="41" t="s">
        <v>653</v>
      </c>
      <c r="D14" s="42"/>
      <c r="E14" s="43" t="s">
        <v>654</v>
      </c>
      <c r="F14" s="44"/>
      <c r="G14" s="86"/>
      <c r="H14" s="44"/>
      <c r="I14" s="86"/>
      <c r="J14" s="167"/>
    </row>
    <row r="15" ht="24.95" customHeight="1" spans="1:10">
      <c r="A15" s="46"/>
      <c r="B15" s="75"/>
      <c r="C15" s="76"/>
      <c r="D15" s="49"/>
      <c r="E15" s="83"/>
      <c r="F15" s="53"/>
      <c r="G15" s="87"/>
      <c r="H15" s="53"/>
      <c r="I15" s="87"/>
      <c r="J15" s="167"/>
    </row>
    <row r="16" ht="24.95" customHeight="1" spans="1:10">
      <c r="A16" s="54"/>
      <c r="B16" s="78"/>
      <c r="C16" s="79"/>
      <c r="D16" s="80"/>
      <c r="E16" s="85"/>
      <c r="F16" s="71"/>
      <c r="G16" s="72"/>
      <c r="H16" s="71"/>
      <c r="I16" s="72"/>
      <c r="J16" s="167"/>
    </row>
    <row r="17" ht="24.95" customHeight="1" spans="1:10">
      <c r="A17" s="39" t="s">
        <v>655</v>
      </c>
      <c r="B17" s="40" t="s">
        <v>656</v>
      </c>
      <c r="C17" s="41" t="s">
        <v>657</v>
      </c>
      <c r="D17" s="42"/>
      <c r="E17" s="43" t="s">
        <v>658</v>
      </c>
      <c r="F17" s="51"/>
      <c r="G17" s="84"/>
      <c r="H17" s="44"/>
      <c r="I17" s="84"/>
      <c r="J17" s="167"/>
    </row>
    <row r="18" ht="24.95" customHeight="1" spans="1:10">
      <c r="A18" s="46"/>
      <c r="B18" s="75"/>
      <c r="C18" s="76"/>
      <c r="D18" s="49"/>
      <c r="E18" s="83"/>
      <c r="F18" s="88"/>
      <c r="G18" s="89"/>
      <c r="H18" s="53"/>
      <c r="I18" s="87"/>
      <c r="J18" s="167"/>
    </row>
    <row r="19" ht="24.95" customHeight="1" spans="1:10">
      <c r="A19" s="54"/>
      <c r="B19" s="78"/>
      <c r="C19" s="79"/>
      <c r="D19" s="80"/>
      <c r="E19" s="85"/>
      <c r="F19" s="90"/>
      <c r="G19" s="91"/>
      <c r="H19" s="71"/>
      <c r="I19" s="72"/>
      <c r="J19" s="167"/>
    </row>
    <row r="20" ht="24.95" customHeight="1" spans="1:10">
      <c r="A20" s="92"/>
      <c r="B20" s="40"/>
      <c r="C20" s="41"/>
      <c r="D20" s="42"/>
      <c r="E20" s="43"/>
      <c r="F20" s="93"/>
      <c r="G20" s="94"/>
      <c r="H20" s="44"/>
      <c r="I20" s="86"/>
      <c r="J20" s="167"/>
    </row>
    <row r="21" ht="24.95" customHeight="1" spans="1:10">
      <c r="A21" s="95"/>
      <c r="B21" s="75"/>
      <c r="C21" s="76"/>
      <c r="D21" s="49"/>
      <c r="E21" s="83"/>
      <c r="F21" s="88"/>
      <c r="G21" s="89"/>
      <c r="H21" s="53"/>
      <c r="I21" s="87"/>
      <c r="J21" s="167"/>
    </row>
    <row r="22" ht="24.95" customHeight="1" spans="1:10">
      <c r="A22" s="96"/>
      <c r="B22" s="78"/>
      <c r="C22" s="79"/>
      <c r="D22" s="80"/>
      <c r="E22" s="85"/>
      <c r="F22" s="90"/>
      <c r="G22" s="91"/>
      <c r="H22" s="71"/>
      <c r="I22" s="72"/>
      <c r="J22" s="167"/>
    </row>
    <row r="23" ht="24.95" customHeight="1" spans="1:10">
      <c r="A23" s="92"/>
      <c r="B23" s="97"/>
      <c r="C23" s="98"/>
      <c r="D23" s="99"/>
      <c r="E23" s="100"/>
      <c r="F23" s="101"/>
      <c r="G23" s="102"/>
      <c r="H23" s="103"/>
      <c r="I23" s="172"/>
      <c r="J23" s="167"/>
    </row>
    <row r="24" ht="24.95" customHeight="1" spans="1:10">
      <c r="A24" s="104"/>
      <c r="B24" s="105"/>
      <c r="C24" s="106"/>
      <c r="D24" s="107"/>
      <c r="E24" s="108"/>
      <c r="F24" s="109" t="s">
        <v>659</v>
      </c>
      <c r="G24" s="110">
        <f>SUM(G4:G23)</f>
        <v>0</v>
      </c>
      <c r="H24" s="105" t="s">
        <v>659</v>
      </c>
      <c r="I24" s="173">
        <f>SUM(I4:I23)</f>
        <v>0</v>
      </c>
      <c r="J24" s="167"/>
    </row>
    <row r="26" ht="49.5" customHeight="1" spans="1:15">
      <c r="A26" s="22" t="s">
        <v>660</v>
      </c>
      <c r="B26" s="22"/>
      <c r="C26" s="22"/>
      <c r="D26" s="22"/>
      <c r="E26" s="22"/>
      <c r="F26" s="22"/>
      <c r="G26" s="22"/>
      <c r="H26" s="22"/>
      <c r="I26" s="22"/>
      <c r="J26" s="22"/>
      <c r="K26" s="169"/>
      <c r="L26" s="169"/>
      <c r="M26" s="169"/>
      <c r="N26" s="169"/>
      <c r="O26" s="167"/>
    </row>
    <row r="27" ht="27" customHeight="1" spans="1:15">
      <c r="A27" s="23" t="s">
        <v>6</v>
      </c>
      <c r="B27" s="24" t="s">
        <v>5</v>
      </c>
      <c r="C27" s="25" t="s">
        <v>623</v>
      </c>
      <c r="D27" s="26" t="s">
        <v>624</v>
      </c>
      <c r="E27" s="27" t="s">
        <v>625</v>
      </c>
      <c r="F27" s="28" t="s">
        <v>661</v>
      </c>
      <c r="G27" s="29"/>
      <c r="H27" s="30" t="s">
        <v>662</v>
      </c>
      <c r="I27" s="28"/>
      <c r="J27" s="174" t="s">
        <v>433</v>
      </c>
      <c r="K27" s="169"/>
      <c r="L27" s="169"/>
      <c r="M27" s="169"/>
      <c r="N27" s="169"/>
      <c r="O27" s="167"/>
    </row>
    <row r="28" ht="27" customHeight="1" spans="1:15">
      <c r="A28" s="31"/>
      <c r="B28" s="32"/>
      <c r="C28" s="33"/>
      <c r="D28" s="34" t="s">
        <v>628</v>
      </c>
      <c r="E28" s="35" t="s">
        <v>4</v>
      </c>
      <c r="F28" s="36" t="s">
        <v>460</v>
      </c>
      <c r="G28" s="37" t="s">
        <v>629</v>
      </c>
      <c r="H28" s="38" t="s">
        <v>460</v>
      </c>
      <c r="I28" s="175" t="s">
        <v>629</v>
      </c>
      <c r="J28" s="176"/>
      <c r="K28" s="168"/>
      <c r="L28" s="167"/>
      <c r="M28" s="168"/>
      <c r="N28" s="167"/>
      <c r="O28" s="167"/>
    </row>
    <row r="29" ht="24.95" customHeight="1" spans="1:15">
      <c r="A29" s="39" t="s">
        <v>630</v>
      </c>
      <c r="B29" s="111" t="s">
        <v>631</v>
      </c>
      <c r="C29" s="112" t="s">
        <v>632</v>
      </c>
      <c r="D29" s="113"/>
      <c r="E29" s="114" t="s">
        <v>633</v>
      </c>
      <c r="F29" s="115" t="s">
        <v>145</v>
      </c>
      <c r="G29" s="116">
        <v>1000</v>
      </c>
      <c r="H29" s="115" t="s">
        <v>663</v>
      </c>
      <c r="I29" s="116">
        <v>1000</v>
      </c>
      <c r="J29" s="177"/>
      <c r="K29" s="168"/>
      <c r="L29" s="167"/>
      <c r="M29" s="168"/>
      <c r="N29" s="167"/>
      <c r="O29" s="167"/>
    </row>
    <row r="30" ht="24.95" customHeight="1" spans="1:15">
      <c r="A30" s="46"/>
      <c r="B30" s="117" t="s">
        <v>634</v>
      </c>
      <c r="C30" s="118" t="s">
        <v>635</v>
      </c>
      <c r="D30" s="119"/>
      <c r="E30" s="120" t="s">
        <v>636</v>
      </c>
      <c r="F30" s="121" t="s">
        <v>145</v>
      </c>
      <c r="G30" s="122">
        <v>1000</v>
      </c>
      <c r="H30" s="123" t="s">
        <v>663</v>
      </c>
      <c r="I30" s="122">
        <v>1000</v>
      </c>
      <c r="J30" s="178"/>
      <c r="K30" s="168"/>
      <c r="L30" s="167"/>
      <c r="M30" s="168"/>
      <c r="N30" s="167"/>
      <c r="O30" s="167"/>
    </row>
    <row r="31" ht="24.95" customHeight="1" spans="1:15">
      <c r="A31" s="46"/>
      <c r="B31" s="124"/>
      <c r="C31" s="125"/>
      <c r="D31" s="126"/>
      <c r="E31" s="127"/>
      <c r="F31" s="128"/>
      <c r="G31" s="129"/>
      <c r="H31" s="130"/>
      <c r="I31" s="179"/>
      <c r="J31" s="180"/>
      <c r="K31" s="168"/>
      <c r="L31" s="167"/>
      <c r="M31" s="168"/>
      <c r="N31" s="167"/>
      <c r="O31" s="167"/>
    </row>
    <row r="32" ht="24.95" customHeight="1" spans="1:15">
      <c r="A32" s="39" t="s">
        <v>637</v>
      </c>
      <c r="B32" s="111" t="s">
        <v>664</v>
      </c>
      <c r="C32" s="131" t="s">
        <v>665</v>
      </c>
      <c r="D32" s="113"/>
      <c r="E32" s="132" t="s">
        <v>666</v>
      </c>
      <c r="F32" s="133" t="s">
        <v>145</v>
      </c>
      <c r="G32" s="134">
        <v>1000</v>
      </c>
      <c r="H32" s="135" t="s">
        <v>667</v>
      </c>
      <c r="I32" s="181" t="s">
        <v>668</v>
      </c>
      <c r="J32" s="182"/>
      <c r="K32" s="168"/>
      <c r="L32" s="167"/>
      <c r="M32" s="168"/>
      <c r="N32" s="167"/>
      <c r="O32" s="167"/>
    </row>
    <row r="33" ht="24.95" customHeight="1" spans="1:15">
      <c r="A33" s="46"/>
      <c r="B33" s="136" t="s">
        <v>669</v>
      </c>
      <c r="C33" s="137" t="s">
        <v>670</v>
      </c>
      <c r="D33" s="119"/>
      <c r="E33" s="138" t="s">
        <v>654</v>
      </c>
      <c r="F33" s="123" t="s">
        <v>145</v>
      </c>
      <c r="G33" s="139">
        <v>1000</v>
      </c>
      <c r="H33" s="123" t="s">
        <v>663</v>
      </c>
      <c r="I33" s="139">
        <v>1000</v>
      </c>
      <c r="J33" s="183" t="s">
        <v>671</v>
      </c>
      <c r="K33" s="168"/>
      <c r="L33" s="167"/>
      <c r="M33" s="168"/>
      <c r="N33" s="167"/>
      <c r="O33" s="167"/>
    </row>
    <row r="34" ht="24.95" customHeight="1" spans="1:15">
      <c r="A34" s="54"/>
      <c r="B34" s="124" t="s">
        <v>638</v>
      </c>
      <c r="C34" s="125" t="s">
        <v>639</v>
      </c>
      <c r="D34" s="126"/>
      <c r="E34" s="140" t="s">
        <v>640</v>
      </c>
      <c r="F34" s="141" t="s">
        <v>145</v>
      </c>
      <c r="G34" s="142">
        <v>1000</v>
      </c>
      <c r="H34" s="130" t="s">
        <v>663</v>
      </c>
      <c r="I34" s="142">
        <v>1000</v>
      </c>
      <c r="J34" s="184"/>
      <c r="K34" s="168"/>
      <c r="L34" s="167"/>
      <c r="M34" s="168"/>
      <c r="N34" s="167"/>
      <c r="O34" s="167"/>
    </row>
    <row r="35" ht="24.95" customHeight="1" spans="1:15">
      <c r="A35" s="39" t="s">
        <v>641</v>
      </c>
      <c r="B35" s="111" t="s">
        <v>642</v>
      </c>
      <c r="C35" s="112" t="s">
        <v>643</v>
      </c>
      <c r="D35" s="113"/>
      <c r="E35" s="143" t="s">
        <v>644</v>
      </c>
      <c r="F35" s="144" t="s">
        <v>145</v>
      </c>
      <c r="G35" s="145">
        <v>1000</v>
      </c>
      <c r="H35" s="115" t="s">
        <v>663</v>
      </c>
      <c r="I35" s="134">
        <v>1000</v>
      </c>
      <c r="J35" s="177"/>
      <c r="K35" s="168"/>
      <c r="L35" s="167"/>
      <c r="M35" s="168"/>
      <c r="N35" s="167"/>
      <c r="O35" s="167"/>
    </row>
    <row r="36" ht="24.95" customHeight="1" spans="1:15">
      <c r="A36" s="46"/>
      <c r="B36" s="136" t="s">
        <v>645</v>
      </c>
      <c r="C36" s="146" t="s">
        <v>646</v>
      </c>
      <c r="D36" s="119"/>
      <c r="E36" s="147" t="s">
        <v>644</v>
      </c>
      <c r="F36" s="121" t="s">
        <v>145</v>
      </c>
      <c r="G36" s="122">
        <v>1000</v>
      </c>
      <c r="H36" s="123" t="s">
        <v>663</v>
      </c>
      <c r="I36" s="139">
        <v>1000</v>
      </c>
      <c r="J36" s="178"/>
      <c r="K36" s="168"/>
      <c r="L36" s="167"/>
      <c r="M36" s="168"/>
      <c r="N36" s="167"/>
      <c r="O36" s="167"/>
    </row>
    <row r="37" ht="24.95" customHeight="1" spans="1:15">
      <c r="A37" s="54"/>
      <c r="B37" s="148"/>
      <c r="C37" s="149"/>
      <c r="D37" s="126"/>
      <c r="E37" s="150"/>
      <c r="F37" s="130"/>
      <c r="G37" s="151"/>
      <c r="H37" s="141"/>
      <c r="I37" s="142"/>
      <c r="J37" s="180"/>
      <c r="K37" s="168"/>
      <c r="L37" s="167"/>
      <c r="M37" s="168"/>
      <c r="N37" s="167"/>
      <c r="O37" s="167"/>
    </row>
    <row r="38" ht="24.95" customHeight="1" spans="1:15">
      <c r="A38" s="39" t="s">
        <v>647</v>
      </c>
      <c r="B38" s="111" t="s">
        <v>672</v>
      </c>
      <c r="C38" s="112" t="s">
        <v>673</v>
      </c>
      <c r="D38" s="113"/>
      <c r="E38" s="114" t="s">
        <v>654</v>
      </c>
      <c r="F38" s="115" t="s">
        <v>145</v>
      </c>
      <c r="G38" s="152">
        <v>1000</v>
      </c>
      <c r="H38" s="153" t="s">
        <v>674</v>
      </c>
      <c r="I38" s="181" t="s">
        <v>668</v>
      </c>
      <c r="J38" s="177"/>
      <c r="K38" s="168"/>
      <c r="L38" s="167"/>
      <c r="M38" s="168"/>
      <c r="N38" s="167"/>
      <c r="O38" s="167"/>
    </row>
    <row r="39" ht="24.95" customHeight="1" spans="1:15">
      <c r="A39" s="46"/>
      <c r="B39" s="136" t="s">
        <v>648</v>
      </c>
      <c r="C39" s="146" t="s">
        <v>649</v>
      </c>
      <c r="D39" s="119"/>
      <c r="E39" s="147" t="s">
        <v>650</v>
      </c>
      <c r="F39" s="123" t="s">
        <v>145</v>
      </c>
      <c r="G39" s="122">
        <v>1000</v>
      </c>
      <c r="H39" s="121" t="s">
        <v>663</v>
      </c>
      <c r="I39" s="139">
        <v>1000</v>
      </c>
      <c r="J39" s="178"/>
      <c r="K39" s="168"/>
      <c r="L39" s="167"/>
      <c r="M39" s="168"/>
      <c r="N39" s="167"/>
      <c r="O39" s="167"/>
    </row>
    <row r="40" ht="24.95" customHeight="1" spans="1:15">
      <c r="A40" s="54"/>
      <c r="B40" s="148"/>
      <c r="C40" s="149"/>
      <c r="D40" s="126"/>
      <c r="E40" s="150"/>
      <c r="F40" s="130"/>
      <c r="G40" s="151"/>
      <c r="H40" s="130"/>
      <c r="I40" s="142"/>
      <c r="J40" s="180"/>
      <c r="K40" s="168"/>
      <c r="L40" s="167"/>
      <c r="M40" s="168"/>
      <c r="N40" s="167"/>
      <c r="O40" s="167"/>
    </row>
    <row r="41" ht="24.95" customHeight="1" spans="1:15">
      <c r="A41" s="39" t="s">
        <v>651</v>
      </c>
      <c r="B41" s="111" t="s">
        <v>652</v>
      </c>
      <c r="C41" s="112" t="s">
        <v>653</v>
      </c>
      <c r="D41" s="113"/>
      <c r="E41" s="114" t="s">
        <v>654</v>
      </c>
      <c r="F41" s="115" t="s">
        <v>145</v>
      </c>
      <c r="G41" s="134">
        <v>1000</v>
      </c>
      <c r="H41" s="115" t="s">
        <v>663</v>
      </c>
      <c r="I41" s="152">
        <v>1000</v>
      </c>
      <c r="J41" s="177"/>
      <c r="K41" s="168"/>
      <c r="L41" s="167"/>
      <c r="M41" s="168"/>
      <c r="N41" s="167"/>
      <c r="O41" s="167"/>
    </row>
    <row r="42" ht="24.95" customHeight="1" spans="1:15">
      <c r="A42" s="46"/>
      <c r="B42" s="136"/>
      <c r="C42" s="146"/>
      <c r="D42" s="119"/>
      <c r="E42" s="147"/>
      <c r="F42" s="123"/>
      <c r="G42" s="139"/>
      <c r="H42" s="123"/>
      <c r="I42" s="122"/>
      <c r="J42" s="178"/>
      <c r="K42" s="168"/>
      <c r="L42" s="167"/>
      <c r="M42" s="168"/>
      <c r="N42" s="167"/>
      <c r="O42" s="167"/>
    </row>
    <row r="43" ht="24.95" customHeight="1" spans="1:15">
      <c r="A43" s="54"/>
      <c r="B43" s="148"/>
      <c r="C43" s="149"/>
      <c r="D43" s="126"/>
      <c r="E43" s="150"/>
      <c r="F43" s="130"/>
      <c r="G43" s="142"/>
      <c r="H43" s="130"/>
      <c r="I43" s="151"/>
      <c r="J43" s="180"/>
      <c r="K43" s="168"/>
      <c r="L43" s="167"/>
      <c r="M43" s="168"/>
      <c r="N43" s="167"/>
      <c r="O43" s="167"/>
    </row>
    <row r="44" ht="24.95" customHeight="1" spans="1:15">
      <c r="A44" s="39" t="s">
        <v>655</v>
      </c>
      <c r="B44" s="111" t="s">
        <v>656</v>
      </c>
      <c r="C44" s="112" t="s">
        <v>657</v>
      </c>
      <c r="D44" s="113"/>
      <c r="E44" s="114" t="s">
        <v>658</v>
      </c>
      <c r="F44" s="121" t="s">
        <v>145</v>
      </c>
      <c r="G44" s="154">
        <v>1000</v>
      </c>
      <c r="H44" s="115" t="s">
        <v>663</v>
      </c>
      <c r="I44" s="145">
        <v>1000</v>
      </c>
      <c r="J44" s="177"/>
      <c r="K44" s="168"/>
      <c r="L44" s="167"/>
      <c r="M44" s="168"/>
      <c r="N44" s="167"/>
      <c r="O44" s="167"/>
    </row>
    <row r="45" ht="24.95" customHeight="1" spans="1:15">
      <c r="A45" s="46"/>
      <c r="B45" s="136"/>
      <c r="C45" s="146"/>
      <c r="D45" s="119"/>
      <c r="E45" s="147"/>
      <c r="F45" s="155"/>
      <c r="G45" s="156"/>
      <c r="H45" s="123"/>
      <c r="I45" s="122"/>
      <c r="J45" s="178"/>
      <c r="K45" s="168"/>
      <c r="L45" s="167"/>
      <c r="M45" s="168"/>
      <c r="N45" s="167"/>
      <c r="O45" s="167"/>
    </row>
    <row r="46" ht="24.95" customHeight="1" spans="1:15">
      <c r="A46" s="54"/>
      <c r="B46" s="148"/>
      <c r="C46" s="149"/>
      <c r="D46" s="126"/>
      <c r="E46" s="150"/>
      <c r="F46" s="157"/>
      <c r="G46" s="158"/>
      <c r="H46" s="130"/>
      <c r="I46" s="151"/>
      <c r="J46" s="180"/>
      <c r="K46" s="168"/>
      <c r="L46" s="167"/>
      <c r="M46" s="168"/>
      <c r="N46" s="167"/>
      <c r="O46" s="167"/>
    </row>
    <row r="47" ht="24.95" customHeight="1" spans="1:15">
      <c r="A47" s="39"/>
      <c r="B47" s="111"/>
      <c r="C47" s="112"/>
      <c r="D47" s="113"/>
      <c r="E47" s="114"/>
      <c r="F47" s="159"/>
      <c r="G47" s="160"/>
      <c r="H47" s="115"/>
      <c r="I47" s="152"/>
      <c r="J47" s="177"/>
      <c r="K47" s="168"/>
      <c r="L47" s="167"/>
      <c r="M47" s="168"/>
      <c r="N47" s="167"/>
      <c r="O47" s="167"/>
    </row>
    <row r="48" ht="24.95" customHeight="1" spans="1:15">
      <c r="A48" s="46"/>
      <c r="B48" s="136"/>
      <c r="C48" s="146"/>
      <c r="D48" s="119"/>
      <c r="E48" s="147"/>
      <c r="F48" s="155"/>
      <c r="G48" s="156"/>
      <c r="H48" s="123"/>
      <c r="I48" s="122"/>
      <c r="J48" s="178"/>
      <c r="K48" s="168"/>
      <c r="L48" s="167"/>
      <c r="M48" s="168"/>
      <c r="N48" s="167"/>
      <c r="O48" s="167"/>
    </row>
    <row r="49" ht="24.95" customHeight="1" spans="1:15">
      <c r="A49" s="54"/>
      <c r="B49" s="148"/>
      <c r="C49" s="149"/>
      <c r="D49" s="126"/>
      <c r="E49" s="150"/>
      <c r="F49" s="157"/>
      <c r="G49" s="158"/>
      <c r="H49" s="130"/>
      <c r="I49" s="151"/>
      <c r="J49" s="180"/>
      <c r="K49" s="168"/>
      <c r="L49" s="167"/>
      <c r="M49" s="168"/>
      <c r="N49" s="167"/>
      <c r="O49" s="167"/>
    </row>
    <row r="50" ht="24.95" customHeight="1" spans="1:15">
      <c r="A50" s="92"/>
      <c r="B50" s="111"/>
      <c r="C50" s="112"/>
      <c r="D50" s="113"/>
      <c r="E50" s="114"/>
      <c r="F50" s="159"/>
      <c r="G50" s="160"/>
      <c r="H50" s="115"/>
      <c r="I50" s="152"/>
      <c r="J50" s="185"/>
      <c r="K50" s="168"/>
      <c r="L50" s="167"/>
      <c r="M50" s="168"/>
      <c r="N50" s="167"/>
      <c r="O50" s="167"/>
    </row>
    <row r="51" ht="24.95" customHeight="1" spans="1:15">
      <c r="A51" s="104"/>
      <c r="B51" s="161"/>
      <c r="C51" s="162"/>
      <c r="D51" s="163"/>
      <c r="E51" s="164"/>
      <c r="F51" s="165" t="s">
        <v>659</v>
      </c>
      <c r="G51" s="166">
        <f>SUM(G29:G50)</f>
        <v>11000</v>
      </c>
      <c r="H51" s="161" t="s">
        <v>659</v>
      </c>
      <c r="I51" s="166">
        <f>SUM(I29:I50)</f>
        <v>9000</v>
      </c>
      <c r="J51" s="186"/>
      <c r="K51" s="168"/>
      <c r="L51" s="167"/>
      <c r="M51" s="168"/>
      <c r="N51" s="167"/>
      <c r="O51" s="167"/>
    </row>
    <row r="52" ht="20.1" customHeight="1" spans="1:15">
      <c r="A52" s="167"/>
      <c r="B52" s="167"/>
      <c r="C52" s="167"/>
      <c r="D52" s="167"/>
      <c r="E52" s="167"/>
      <c r="F52" s="167"/>
      <c r="G52" s="168"/>
      <c r="H52" s="167"/>
      <c r="I52" s="168"/>
      <c r="J52" s="167"/>
      <c r="K52" s="168"/>
      <c r="L52" s="167"/>
      <c r="M52" s="168"/>
      <c r="N52" s="167"/>
      <c r="O52" s="167"/>
    </row>
    <row r="53" spans="1:15">
      <c r="A53" s="167"/>
      <c r="B53" s="167"/>
      <c r="C53" s="167"/>
      <c r="D53" s="167"/>
      <c r="E53" s="167"/>
      <c r="F53" s="167"/>
      <c r="G53" s="168"/>
      <c r="H53" s="167"/>
      <c r="I53" s="168"/>
      <c r="J53" s="167"/>
      <c r="K53" s="168"/>
      <c r="L53" s="167"/>
      <c r="M53" s="168"/>
      <c r="N53" s="167"/>
      <c r="O53" s="167"/>
    </row>
    <row r="54" spans="1:15">
      <c r="A54" s="167"/>
      <c r="B54" s="167"/>
      <c r="C54" s="167"/>
      <c r="D54" s="167"/>
      <c r="E54" s="167"/>
      <c r="F54" s="167"/>
      <c r="G54" s="168"/>
      <c r="H54" s="167"/>
      <c r="I54" s="168"/>
      <c r="J54" s="167"/>
      <c r="K54" s="168"/>
      <c r="L54" s="167"/>
      <c r="M54" s="168"/>
      <c r="N54" s="167"/>
      <c r="O54" s="167"/>
    </row>
    <row r="55" spans="1:15">
      <c r="A55" s="167"/>
      <c r="B55" s="167"/>
      <c r="C55" s="167"/>
      <c r="D55" s="167"/>
      <c r="E55" s="167"/>
      <c r="F55" s="167"/>
      <c r="G55" s="168"/>
      <c r="H55" s="167"/>
      <c r="I55" s="168"/>
      <c r="J55" s="167"/>
      <c r="K55" s="168"/>
      <c r="L55" s="167"/>
      <c r="M55" s="168"/>
      <c r="N55" s="167"/>
      <c r="O55" s="167"/>
    </row>
    <row r="56" spans="1:15">
      <c r="A56" s="167"/>
      <c r="B56" s="167"/>
      <c r="C56" s="167"/>
      <c r="D56" s="167"/>
      <c r="E56" s="167"/>
      <c r="F56" s="167"/>
      <c r="G56" s="168"/>
      <c r="H56" s="167"/>
      <c r="I56" s="168"/>
      <c r="J56" s="167"/>
      <c r="K56" s="168"/>
      <c r="L56" s="167"/>
      <c r="M56" s="168"/>
      <c r="N56" s="167"/>
      <c r="O56" s="167"/>
    </row>
    <row r="57" spans="1:15">
      <c r="A57" s="167"/>
      <c r="B57" s="167"/>
      <c r="C57" s="167"/>
      <c r="D57" s="167"/>
      <c r="E57" s="167"/>
      <c r="F57" s="167"/>
      <c r="G57" s="168"/>
      <c r="H57" s="167"/>
      <c r="I57" s="168"/>
      <c r="J57" s="167"/>
      <c r="K57" s="168"/>
      <c r="L57" s="167"/>
      <c r="M57" s="168"/>
      <c r="N57" s="167"/>
      <c r="O57" s="167"/>
    </row>
    <row r="58" spans="1:15">
      <c r="A58" s="167"/>
      <c r="B58" s="167"/>
      <c r="C58" s="167"/>
      <c r="D58" s="167"/>
      <c r="E58" s="167"/>
      <c r="F58" s="167"/>
      <c r="G58" s="168"/>
      <c r="H58" s="167"/>
      <c r="I58" s="168"/>
      <c r="J58" s="167"/>
      <c r="K58" s="168"/>
      <c r="L58" s="167"/>
      <c r="M58" s="168"/>
      <c r="N58" s="167"/>
      <c r="O58" s="167"/>
    </row>
    <row r="59" spans="1:15">
      <c r="A59" s="167"/>
      <c r="B59" s="167"/>
      <c r="C59" s="167"/>
      <c r="D59" s="167"/>
      <c r="E59" s="167"/>
      <c r="F59" s="167"/>
      <c r="G59" s="168"/>
      <c r="H59" s="167"/>
      <c r="I59" s="168"/>
      <c r="J59" s="167"/>
      <c r="K59" s="168"/>
      <c r="L59" s="167"/>
      <c r="M59" s="168"/>
      <c r="N59" s="167"/>
      <c r="O59" s="167"/>
    </row>
    <row r="60" spans="1:15">
      <c r="A60" s="167"/>
      <c r="B60" s="167"/>
      <c r="C60" s="167"/>
      <c r="D60" s="167"/>
      <c r="E60" s="167"/>
      <c r="F60" s="167"/>
      <c r="G60" s="168"/>
      <c r="H60" s="167"/>
      <c r="I60" s="168"/>
      <c r="J60" s="167"/>
      <c r="K60" s="168"/>
      <c r="L60" s="167"/>
      <c r="M60" s="168"/>
      <c r="N60" s="167"/>
      <c r="O60" s="167"/>
    </row>
    <row r="61" spans="1:4">
      <c r="A61" s="167"/>
      <c r="B61" s="167"/>
      <c r="C61" s="167"/>
      <c r="D61" s="167"/>
    </row>
  </sheetData>
  <mergeCells count="27">
    <mergeCell ref="A1:J1"/>
    <mergeCell ref="F2:G2"/>
    <mergeCell ref="H2:I2"/>
    <mergeCell ref="A26:J26"/>
    <mergeCell ref="F27:G27"/>
    <mergeCell ref="H27:I27"/>
    <mergeCell ref="A2:A3"/>
    <mergeCell ref="A4:A6"/>
    <mergeCell ref="A7:A8"/>
    <mergeCell ref="A9:A11"/>
    <mergeCell ref="A12:A13"/>
    <mergeCell ref="A14:A16"/>
    <mergeCell ref="A17:A19"/>
    <mergeCell ref="A20:A22"/>
    <mergeCell ref="A27:A28"/>
    <mergeCell ref="A29:A31"/>
    <mergeCell ref="A32:A34"/>
    <mergeCell ref="A35:A37"/>
    <mergeCell ref="A38:A40"/>
    <mergeCell ref="A41:A43"/>
    <mergeCell ref="A44:A46"/>
    <mergeCell ref="A47:A49"/>
    <mergeCell ref="B2:B3"/>
    <mergeCell ref="B27:B28"/>
    <mergeCell ref="C2:C3"/>
    <mergeCell ref="C27:C28"/>
    <mergeCell ref="J27:J2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"/>
  <sheetViews>
    <sheetView workbookViewId="0">
      <selection activeCell="B26" sqref="B26"/>
    </sheetView>
  </sheetViews>
  <sheetFormatPr defaultColWidth="9" defaultRowHeight="13.5" outlineLevelCol="5"/>
  <cols>
    <col min="1" max="1" width="7.6283185840708" customWidth="1"/>
    <col min="2" max="2" width="20" style="1" customWidth="1"/>
    <col min="3" max="3" width="20.6283185840708" customWidth="1"/>
    <col min="4" max="4" width="15.6283185840708" customWidth="1"/>
    <col min="5" max="5" width="17.3716814159292" customWidth="1"/>
    <col min="6" max="6" width="17.8761061946903" customWidth="1"/>
  </cols>
  <sheetData>
    <row r="1" spans="1:6">
      <c r="A1" s="2" t="s">
        <v>675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ht="18" customHeight="1" spans="1:6">
      <c r="A4" s="3" t="s">
        <v>676</v>
      </c>
      <c r="B4" s="4" t="s">
        <v>5</v>
      </c>
      <c r="C4" s="5" t="s">
        <v>677</v>
      </c>
      <c r="D4" s="5" t="s">
        <v>678</v>
      </c>
      <c r="E4" s="5" t="s">
        <v>679</v>
      </c>
      <c r="F4" s="5" t="s">
        <v>680</v>
      </c>
    </row>
    <row r="5" ht="18" customHeight="1" spans="1:6">
      <c r="A5" s="6">
        <v>1</v>
      </c>
      <c r="B5" s="7" t="s">
        <v>15</v>
      </c>
      <c r="C5" s="8">
        <f>16800</f>
        <v>16800</v>
      </c>
      <c r="D5" s="8"/>
      <c r="E5" s="8"/>
      <c r="F5" s="8">
        <f t="shared" ref="F5:F36" si="0">SUM(C5:E5)</f>
        <v>16800</v>
      </c>
    </row>
    <row r="6" ht="18" customHeight="1" spans="1:6">
      <c r="A6" s="6">
        <v>2</v>
      </c>
      <c r="B6" s="9" t="s">
        <v>18</v>
      </c>
      <c r="C6" s="8">
        <f>16800</f>
        <v>16800</v>
      </c>
      <c r="D6" s="8"/>
      <c r="E6" s="8"/>
      <c r="F6" s="8">
        <f t="shared" si="0"/>
        <v>16800</v>
      </c>
    </row>
    <row r="7" ht="18" customHeight="1" spans="1:6">
      <c r="A7" s="6">
        <v>3</v>
      </c>
      <c r="B7" s="9" t="s">
        <v>116</v>
      </c>
      <c r="C7" s="8">
        <f>16800</f>
        <v>16800</v>
      </c>
      <c r="D7" s="8"/>
      <c r="E7" s="8"/>
      <c r="F7" s="10">
        <f t="shared" si="0"/>
        <v>16800</v>
      </c>
    </row>
    <row r="8" ht="18" customHeight="1" spans="1:6">
      <c r="A8" s="6">
        <v>4</v>
      </c>
      <c r="B8" s="9" t="s">
        <v>47</v>
      </c>
      <c r="C8" s="8">
        <f>10000</f>
        <v>10000</v>
      </c>
      <c r="D8" s="11"/>
      <c r="E8" s="8"/>
      <c r="F8" s="8">
        <f t="shared" si="0"/>
        <v>10000</v>
      </c>
    </row>
    <row r="9" ht="18" customHeight="1" spans="1:6">
      <c r="A9" s="6">
        <v>5</v>
      </c>
      <c r="B9" s="9" t="s">
        <v>83</v>
      </c>
      <c r="C9" s="8">
        <f>10000</f>
        <v>10000</v>
      </c>
      <c r="D9" s="8"/>
      <c r="E9" s="8"/>
      <c r="F9" s="8">
        <f t="shared" si="0"/>
        <v>10000</v>
      </c>
    </row>
    <row r="10" ht="18" customHeight="1" spans="1:6">
      <c r="A10" s="6">
        <v>6</v>
      </c>
      <c r="B10" s="9" t="s">
        <v>84</v>
      </c>
      <c r="C10" s="8">
        <f>9999.99</f>
        <v>9999.99</v>
      </c>
      <c r="D10" s="8"/>
      <c r="E10" s="8"/>
      <c r="F10" s="8">
        <f t="shared" si="0"/>
        <v>9999.99</v>
      </c>
    </row>
    <row r="11" ht="18" customHeight="1" spans="1:6">
      <c r="A11" s="6">
        <v>7</v>
      </c>
      <c r="B11" s="9" t="s">
        <v>85</v>
      </c>
      <c r="C11" s="8">
        <f>8888.88</f>
        <v>8888.88</v>
      </c>
      <c r="D11" s="8"/>
      <c r="E11" s="8"/>
      <c r="F11" s="8">
        <f t="shared" si="0"/>
        <v>8888.88</v>
      </c>
    </row>
    <row r="12" ht="18" customHeight="1" spans="1:6">
      <c r="A12" s="6">
        <v>8</v>
      </c>
      <c r="B12" s="9" t="s">
        <v>151</v>
      </c>
      <c r="C12" s="8">
        <f>8000</f>
        <v>8000</v>
      </c>
      <c r="D12" s="8"/>
      <c r="E12" s="8"/>
      <c r="F12" s="10">
        <f t="shared" si="0"/>
        <v>8000</v>
      </c>
    </row>
    <row r="13" ht="18" customHeight="1" spans="1:6">
      <c r="A13" s="6">
        <v>9</v>
      </c>
      <c r="B13" s="9" t="s">
        <v>70</v>
      </c>
      <c r="C13" s="8">
        <f>6800</f>
        <v>6800</v>
      </c>
      <c r="D13" s="8"/>
      <c r="E13" s="8"/>
      <c r="F13" s="8">
        <f t="shared" si="0"/>
        <v>6800</v>
      </c>
    </row>
    <row r="14" ht="18" customHeight="1" spans="1:6">
      <c r="A14" s="6">
        <v>10</v>
      </c>
      <c r="B14" s="9" t="s">
        <v>72</v>
      </c>
      <c r="C14" s="8">
        <f>6800</f>
        <v>6800</v>
      </c>
      <c r="D14" s="8"/>
      <c r="E14" s="8"/>
      <c r="F14" s="8">
        <f t="shared" si="0"/>
        <v>6800</v>
      </c>
    </row>
    <row r="15" ht="18" customHeight="1" spans="1:6">
      <c r="A15" s="6">
        <v>11</v>
      </c>
      <c r="B15" s="9" t="s">
        <v>23</v>
      </c>
      <c r="C15" s="8">
        <f>1000+5000</f>
        <v>6000</v>
      </c>
      <c r="D15" s="8"/>
      <c r="E15" s="8">
        <f>150</f>
        <v>150</v>
      </c>
      <c r="F15" s="8">
        <f t="shared" si="0"/>
        <v>6150</v>
      </c>
    </row>
    <row r="16" ht="18" customHeight="1" spans="1:6">
      <c r="A16" s="6">
        <v>12</v>
      </c>
      <c r="B16" s="9" t="s">
        <v>29</v>
      </c>
      <c r="C16" s="8">
        <f>1689</f>
        <v>1689</v>
      </c>
      <c r="D16" s="8">
        <f>166+169+668+279+280+228+78</f>
        <v>1868</v>
      </c>
      <c r="E16" s="8">
        <f>99+288+168+168+168+228+188</f>
        <v>1307</v>
      </c>
      <c r="F16" s="8">
        <f t="shared" si="0"/>
        <v>4864</v>
      </c>
    </row>
    <row r="17" ht="18" customHeight="1" spans="1:6">
      <c r="A17" s="6">
        <v>13</v>
      </c>
      <c r="B17" s="9" t="s">
        <v>38</v>
      </c>
      <c r="C17" s="8">
        <f>1286</f>
        <v>1286</v>
      </c>
      <c r="D17" s="8">
        <f>168+238+168</f>
        <v>574</v>
      </c>
      <c r="E17" s="8">
        <f>568+568+266+239+668+168+113</f>
        <v>2590</v>
      </c>
      <c r="F17" s="8">
        <f t="shared" si="0"/>
        <v>4450</v>
      </c>
    </row>
    <row r="18" ht="18" customHeight="1" spans="1:6">
      <c r="A18" s="6">
        <v>14</v>
      </c>
      <c r="B18" s="9" t="s">
        <v>25</v>
      </c>
      <c r="C18" s="8">
        <f>3800</f>
        <v>3800</v>
      </c>
      <c r="D18" s="8">
        <f>150+120+120+158</f>
        <v>548</v>
      </c>
      <c r="E18" s="8"/>
      <c r="F18" s="8">
        <f t="shared" si="0"/>
        <v>4348</v>
      </c>
    </row>
    <row r="19" ht="18" customHeight="1" spans="1:6">
      <c r="A19" s="6">
        <v>15</v>
      </c>
      <c r="B19" s="9" t="s">
        <v>67</v>
      </c>
      <c r="C19" s="8">
        <f>3888</f>
        <v>3888</v>
      </c>
      <c r="D19" s="8"/>
      <c r="E19" s="8">
        <f>288</f>
        <v>288</v>
      </c>
      <c r="F19" s="8">
        <f t="shared" si="0"/>
        <v>4176</v>
      </c>
    </row>
    <row r="20" ht="18" customHeight="1" spans="1:6">
      <c r="A20" s="6">
        <v>16</v>
      </c>
      <c r="B20" s="9" t="s">
        <v>78</v>
      </c>
      <c r="C20" s="8">
        <f>3800</f>
        <v>3800</v>
      </c>
      <c r="D20" s="8"/>
      <c r="E20" s="8"/>
      <c r="F20" s="10">
        <f t="shared" si="0"/>
        <v>3800</v>
      </c>
    </row>
    <row r="21" ht="18" customHeight="1" spans="1:6">
      <c r="A21" s="6">
        <v>17</v>
      </c>
      <c r="B21" s="9" t="s">
        <v>122</v>
      </c>
      <c r="C21" s="8">
        <f>2666.88</f>
        <v>2666.88</v>
      </c>
      <c r="D21" s="8"/>
      <c r="E21" s="8">
        <f>166+208+168+98+108</f>
        <v>748</v>
      </c>
      <c r="F21" s="10">
        <f t="shared" si="0"/>
        <v>3414.88</v>
      </c>
    </row>
    <row r="22" ht="18" customHeight="1" spans="1:6">
      <c r="A22" s="6">
        <v>18</v>
      </c>
      <c r="B22" s="9" t="s">
        <v>39</v>
      </c>
      <c r="C22" s="8"/>
      <c r="D22" s="8">
        <f>568+568+498+498+120+100+108+118</f>
        <v>2578</v>
      </c>
      <c r="E22" s="8">
        <f>444.44+268</f>
        <v>712.44</v>
      </c>
      <c r="F22" s="8">
        <f t="shared" si="0"/>
        <v>3290.44</v>
      </c>
    </row>
    <row r="23" ht="18" customHeight="1" spans="1:6">
      <c r="A23" s="6">
        <v>19</v>
      </c>
      <c r="B23" s="9" t="s">
        <v>95</v>
      </c>
      <c r="C23" s="8">
        <f>3000</f>
        <v>3000</v>
      </c>
      <c r="D23" s="8">
        <f>123</f>
        <v>123</v>
      </c>
      <c r="E23" s="8"/>
      <c r="F23" s="10">
        <f t="shared" si="0"/>
        <v>3123</v>
      </c>
    </row>
    <row r="24" ht="18" customHeight="1" spans="1:6">
      <c r="A24" s="6">
        <v>20</v>
      </c>
      <c r="B24" s="9" t="s">
        <v>113</v>
      </c>
      <c r="C24" s="8">
        <f>3000</f>
        <v>3000</v>
      </c>
      <c r="D24" s="8"/>
      <c r="E24" s="8"/>
      <c r="F24" s="10">
        <f t="shared" si="0"/>
        <v>3000</v>
      </c>
    </row>
    <row r="25" ht="18" customHeight="1" spans="1:6">
      <c r="A25" s="6">
        <v>21</v>
      </c>
      <c r="B25" s="9" t="s">
        <v>64</v>
      </c>
      <c r="C25" s="8">
        <f>2000</f>
        <v>2000</v>
      </c>
      <c r="D25" s="8">
        <f>999</f>
        <v>999</v>
      </c>
      <c r="E25" s="8"/>
      <c r="F25" s="8">
        <f t="shared" si="0"/>
        <v>2999</v>
      </c>
    </row>
    <row r="26" ht="18" customHeight="1" spans="1:6">
      <c r="A26" s="6">
        <v>22</v>
      </c>
      <c r="B26" s="9" t="s">
        <v>35</v>
      </c>
      <c r="C26" s="8">
        <f>2889.99</f>
        <v>2889.99</v>
      </c>
      <c r="D26" s="8"/>
      <c r="E26" s="8"/>
      <c r="F26" s="8">
        <f t="shared" si="0"/>
        <v>2889.99</v>
      </c>
    </row>
    <row r="27" ht="18" customHeight="1" spans="1:6">
      <c r="A27" s="6">
        <v>23</v>
      </c>
      <c r="B27" s="9" t="s">
        <v>27</v>
      </c>
      <c r="C27" s="8">
        <f>2000</f>
        <v>2000</v>
      </c>
      <c r="D27" s="8">
        <f>600</f>
        <v>600</v>
      </c>
      <c r="E27" s="8"/>
      <c r="F27" s="10">
        <f t="shared" si="0"/>
        <v>2600</v>
      </c>
    </row>
    <row r="28" ht="18" customHeight="1" spans="1:6">
      <c r="A28" s="6">
        <v>24</v>
      </c>
      <c r="B28" s="9" t="s">
        <v>124</v>
      </c>
      <c r="C28" s="8">
        <f>1000</f>
        <v>1000</v>
      </c>
      <c r="D28" s="8">
        <f>500+444.44</f>
        <v>944.44</v>
      </c>
      <c r="E28" s="8">
        <f>500</f>
        <v>500</v>
      </c>
      <c r="F28" s="10">
        <f t="shared" si="0"/>
        <v>2444.44</v>
      </c>
    </row>
    <row r="29" ht="18" customHeight="1" spans="1:6">
      <c r="A29" s="6">
        <v>25</v>
      </c>
      <c r="B29" s="9" t="s">
        <v>190</v>
      </c>
      <c r="C29" s="10"/>
      <c r="D29" s="10">
        <f>240+250+238+256+266+239</f>
        <v>1489</v>
      </c>
      <c r="E29" s="10">
        <f>388+528</f>
        <v>916</v>
      </c>
      <c r="F29" s="10">
        <f t="shared" si="0"/>
        <v>2405</v>
      </c>
    </row>
    <row r="30" ht="18" customHeight="1" spans="1:6">
      <c r="A30" s="6">
        <v>26</v>
      </c>
      <c r="B30" s="9" t="s">
        <v>681</v>
      </c>
      <c r="C30" s="8"/>
      <c r="D30" s="8"/>
      <c r="E30" s="8">
        <f>100+999+268+600+111+111+158</f>
        <v>2347</v>
      </c>
      <c r="F30" s="10">
        <f t="shared" si="0"/>
        <v>2347</v>
      </c>
    </row>
    <row r="31" ht="18" customHeight="1" spans="1:6">
      <c r="A31" s="6">
        <v>27</v>
      </c>
      <c r="B31" s="9" t="s">
        <v>161</v>
      </c>
      <c r="C31" s="10">
        <f>688</f>
        <v>688</v>
      </c>
      <c r="D31" s="10">
        <f>238+227+208</f>
        <v>673</v>
      </c>
      <c r="E31" s="10">
        <f>158+39+428+328</f>
        <v>953</v>
      </c>
      <c r="F31" s="10">
        <f t="shared" si="0"/>
        <v>2314</v>
      </c>
    </row>
    <row r="32" ht="18" customHeight="1" spans="1:6">
      <c r="A32" s="6">
        <v>28</v>
      </c>
      <c r="B32" s="9" t="s">
        <v>19</v>
      </c>
      <c r="C32" s="8">
        <f>2000</f>
        <v>2000</v>
      </c>
      <c r="D32" s="8"/>
      <c r="E32" s="8">
        <f>188</f>
        <v>188</v>
      </c>
      <c r="F32" s="8">
        <f t="shared" si="0"/>
        <v>2188</v>
      </c>
    </row>
    <row r="33" ht="18" customHeight="1" spans="1:6">
      <c r="A33" s="6">
        <v>29</v>
      </c>
      <c r="B33" s="9" t="s">
        <v>682</v>
      </c>
      <c r="C33" s="10"/>
      <c r="D33" s="10"/>
      <c r="E33" s="10">
        <f>498+498+238+298+299+168+118</f>
        <v>2117</v>
      </c>
      <c r="F33" s="10">
        <f t="shared" si="0"/>
        <v>2117</v>
      </c>
    </row>
    <row r="34" ht="18" customHeight="1" spans="1:6">
      <c r="A34" s="6">
        <v>30</v>
      </c>
      <c r="B34" s="9" t="s">
        <v>143</v>
      </c>
      <c r="C34" s="8">
        <f>2020</f>
        <v>2020</v>
      </c>
      <c r="D34" s="8"/>
      <c r="E34" s="8"/>
      <c r="F34" s="10">
        <f t="shared" si="0"/>
        <v>2020</v>
      </c>
    </row>
    <row r="35" ht="18" customHeight="1" spans="1:6">
      <c r="A35" s="6">
        <v>31</v>
      </c>
      <c r="B35" s="9" t="s">
        <v>153</v>
      </c>
      <c r="C35" s="8">
        <f>2020</f>
        <v>2020</v>
      </c>
      <c r="D35" s="8"/>
      <c r="E35" s="8"/>
      <c r="F35" s="10">
        <f t="shared" si="0"/>
        <v>2020</v>
      </c>
    </row>
    <row r="36" ht="18" customHeight="1" spans="1:6">
      <c r="A36" s="6">
        <v>32</v>
      </c>
      <c r="B36" s="9" t="s">
        <v>89</v>
      </c>
      <c r="C36" s="8">
        <f>1333.15</f>
        <v>1333.15</v>
      </c>
      <c r="D36" s="8"/>
      <c r="E36" s="8">
        <f>250+238+138+50</f>
        <v>676</v>
      </c>
      <c r="F36" s="8">
        <f t="shared" si="0"/>
        <v>2009.15</v>
      </c>
    </row>
    <row r="37" ht="18" customHeight="1" spans="1:6">
      <c r="A37" s="6">
        <v>33</v>
      </c>
      <c r="B37" s="12" t="s">
        <v>20</v>
      </c>
      <c r="C37" s="8">
        <f>2000</f>
        <v>2000</v>
      </c>
      <c r="D37" s="8"/>
      <c r="E37" s="8"/>
      <c r="F37" s="8">
        <f t="shared" ref="F37:F68" si="1">SUM(C37:E37)</f>
        <v>2000</v>
      </c>
    </row>
    <row r="38" ht="18" customHeight="1" spans="1:6">
      <c r="A38" s="6">
        <v>34</v>
      </c>
      <c r="B38" s="9" t="s">
        <v>62</v>
      </c>
      <c r="C38" s="8">
        <f>2000</f>
        <v>2000</v>
      </c>
      <c r="D38" s="8"/>
      <c r="E38" s="8"/>
      <c r="F38" s="8">
        <f t="shared" si="1"/>
        <v>2000</v>
      </c>
    </row>
    <row r="39" ht="18" customHeight="1" spans="1:6">
      <c r="A39" s="6">
        <v>35</v>
      </c>
      <c r="B39" s="9" t="s">
        <v>63</v>
      </c>
      <c r="C39" s="8">
        <f>2000</f>
        <v>2000</v>
      </c>
      <c r="D39" s="8"/>
      <c r="E39" s="8"/>
      <c r="F39" s="8">
        <f t="shared" si="1"/>
        <v>2000</v>
      </c>
    </row>
    <row r="40" ht="18" customHeight="1" spans="1:6">
      <c r="A40" s="6">
        <v>36</v>
      </c>
      <c r="B40" s="9" t="s">
        <v>82</v>
      </c>
      <c r="C40" s="8">
        <f>2000</f>
        <v>2000</v>
      </c>
      <c r="D40" s="8"/>
      <c r="E40" s="8"/>
      <c r="F40" s="10">
        <f t="shared" si="1"/>
        <v>2000</v>
      </c>
    </row>
    <row r="41" ht="18" customHeight="1" spans="1:6">
      <c r="A41" s="6">
        <v>37</v>
      </c>
      <c r="B41" s="9" t="s">
        <v>90</v>
      </c>
      <c r="C41" s="8">
        <f>2000</f>
        <v>2000</v>
      </c>
      <c r="D41" s="8"/>
      <c r="E41" s="8"/>
      <c r="F41" s="10">
        <f t="shared" si="1"/>
        <v>2000</v>
      </c>
    </row>
    <row r="42" ht="18" customHeight="1" spans="1:6">
      <c r="A42" s="6">
        <v>38</v>
      </c>
      <c r="B42" s="9" t="s">
        <v>36</v>
      </c>
      <c r="C42" s="8">
        <f>1888.99</f>
        <v>1888.99</v>
      </c>
      <c r="D42" s="8"/>
      <c r="E42" s="8"/>
      <c r="F42" s="8">
        <f t="shared" si="1"/>
        <v>1888.99</v>
      </c>
    </row>
    <row r="43" ht="18" customHeight="1" spans="1:6">
      <c r="A43" s="6">
        <v>39</v>
      </c>
      <c r="B43" s="9" t="s">
        <v>44</v>
      </c>
      <c r="C43" s="8">
        <f>1888</f>
        <v>1888</v>
      </c>
      <c r="D43" s="8"/>
      <c r="E43" s="8"/>
      <c r="F43" s="8">
        <f t="shared" si="1"/>
        <v>1888</v>
      </c>
    </row>
    <row r="44" ht="18" customHeight="1" spans="1:6">
      <c r="A44" s="6">
        <v>40</v>
      </c>
      <c r="B44" s="9" t="s">
        <v>270</v>
      </c>
      <c r="C44" s="10"/>
      <c r="D44" s="10">
        <f>528+338+299+168+388+158</f>
        <v>1879</v>
      </c>
      <c r="E44" s="13"/>
      <c r="F44" s="10">
        <f t="shared" si="1"/>
        <v>1879</v>
      </c>
    </row>
    <row r="45" ht="18" customHeight="1" spans="1:6">
      <c r="A45" s="6">
        <v>41</v>
      </c>
      <c r="B45" s="9" t="s">
        <v>101</v>
      </c>
      <c r="C45" s="8">
        <f>388</f>
        <v>388</v>
      </c>
      <c r="D45" s="8">
        <f>100+258+228+97+158+138+118</f>
        <v>1097</v>
      </c>
      <c r="E45" s="8">
        <f>338</f>
        <v>338</v>
      </c>
      <c r="F45" s="10">
        <f t="shared" si="1"/>
        <v>1823</v>
      </c>
    </row>
    <row r="46" ht="18" customHeight="1" spans="1:6">
      <c r="A46" s="6">
        <v>42</v>
      </c>
      <c r="B46" s="9" t="s">
        <v>203</v>
      </c>
      <c r="C46" s="10"/>
      <c r="D46" s="10">
        <f>128+268+138+168+133+158+138+88+39+92+230+240</f>
        <v>1820</v>
      </c>
      <c r="E46" s="10"/>
      <c r="F46" s="10">
        <f t="shared" si="1"/>
        <v>1820</v>
      </c>
    </row>
    <row r="47" ht="18" customHeight="1" spans="1:6">
      <c r="A47" s="6">
        <v>43</v>
      </c>
      <c r="B47" s="9" t="s">
        <v>80</v>
      </c>
      <c r="C47" s="8">
        <f>1680</f>
        <v>1680</v>
      </c>
      <c r="D47" s="14"/>
      <c r="E47" s="8"/>
      <c r="F47" s="10">
        <f t="shared" si="1"/>
        <v>1680</v>
      </c>
    </row>
    <row r="48" ht="18" customHeight="1" spans="1:6">
      <c r="A48" s="6">
        <v>44</v>
      </c>
      <c r="B48" s="9" t="s">
        <v>127</v>
      </c>
      <c r="C48" s="8">
        <f>388</f>
        <v>388</v>
      </c>
      <c r="D48" s="8">
        <f>188+88+100+113</f>
        <v>489</v>
      </c>
      <c r="E48" s="8">
        <f>258+108+108+120</f>
        <v>594</v>
      </c>
      <c r="F48" s="10">
        <f t="shared" si="1"/>
        <v>1471</v>
      </c>
    </row>
    <row r="49" ht="18" customHeight="1" spans="1:6">
      <c r="A49" s="6">
        <v>45</v>
      </c>
      <c r="B49" s="9" t="s">
        <v>57</v>
      </c>
      <c r="C49" s="8">
        <f>1000</f>
        <v>1000</v>
      </c>
      <c r="D49" s="8">
        <f>268+188</f>
        <v>456</v>
      </c>
      <c r="E49" s="8"/>
      <c r="F49" s="8">
        <f t="shared" si="1"/>
        <v>1456</v>
      </c>
    </row>
    <row r="50" ht="18" customHeight="1" spans="1:6">
      <c r="A50" s="6">
        <v>46</v>
      </c>
      <c r="B50" s="9" t="s">
        <v>281</v>
      </c>
      <c r="C50" s="10"/>
      <c r="D50" s="10">
        <f>188+138+108+108+111+108+118+168+118+139</f>
        <v>1304</v>
      </c>
      <c r="E50" s="13"/>
      <c r="F50" s="10">
        <f t="shared" si="1"/>
        <v>1304</v>
      </c>
    </row>
    <row r="51" ht="18" customHeight="1" spans="1:6">
      <c r="A51" s="6">
        <v>47</v>
      </c>
      <c r="B51" s="9" t="s">
        <v>683</v>
      </c>
      <c r="C51" s="8">
        <f t="shared" ref="C51:C58" si="2">1000</f>
        <v>1000</v>
      </c>
      <c r="D51" s="8"/>
      <c r="E51" s="8"/>
      <c r="F51" s="8">
        <f t="shared" si="1"/>
        <v>1000</v>
      </c>
    </row>
    <row r="52" ht="18" customHeight="1" spans="1:6">
      <c r="A52" s="6">
        <v>48</v>
      </c>
      <c r="B52" s="9" t="s">
        <v>45</v>
      </c>
      <c r="C52" s="8">
        <f t="shared" si="2"/>
        <v>1000</v>
      </c>
      <c r="D52" s="8"/>
      <c r="E52" s="8"/>
      <c r="F52" s="8">
        <f t="shared" si="1"/>
        <v>1000</v>
      </c>
    </row>
    <row r="53" ht="18" customHeight="1" spans="1:6">
      <c r="A53" s="6">
        <v>49</v>
      </c>
      <c r="B53" s="9" t="s">
        <v>77</v>
      </c>
      <c r="C53" s="8">
        <f t="shared" si="2"/>
        <v>1000</v>
      </c>
      <c r="D53" s="8"/>
      <c r="E53" s="8"/>
      <c r="F53" s="10">
        <f t="shared" si="1"/>
        <v>1000</v>
      </c>
    </row>
    <row r="54" ht="18" customHeight="1" spans="1:6">
      <c r="A54" s="6">
        <v>50</v>
      </c>
      <c r="B54" s="9" t="s">
        <v>119</v>
      </c>
      <c r="C54" s="8">
        <f t="shared" si="2"/>
        <v>1000</v>
      </c>
      <c r="D54" s="8"/>
      <c r="E54" s="8"/>
      <c r="F54" s="10">
        <f t="shared" si="1"/>
        <v>1000</v>
      </c>
    </row>
    <row r="55" ht="18" customHeight="1" spans="1:6">
      <c r="A55" s="6">
        <v>51</v>
      </c>
      <c r="B55" s="9" t="s">
        <v>684</v>
      </c>
      <c r="C55" s="8">
        <f t="shared" si="2"/>
        <v>1000</v>
      </c>
      <c r="D55" s="8"/>
      <c r="E55" s="8"/>
      <c r="F55" s="10">
        <f t="shared" si="1"/>
        <v>1000</v>
      </c>
    </row>
    <row r="56" ht="18" customHeight="1" spans="1:6">
      <c r="A56" s="6">
        <v>52</v>
      </c>
      <c r="B56" s="9" t="s">
        <v>138</v>
      </c>
      <c r="C56" s="8">
        <f t="shared" si="2"/>
        <v>1000</v>
      </c>
      <c r="D56" s="8"/>
      <c r="E56" s="8"/>
      <c r="F56" s="10">
        <f t="shared" si="1"/>
        <v>1000</v>
      </c>
    </row>
    <row r="57" ht="18" customHeight="1" spans="1:6">
      <c r="A57" s="6">
        <v>53</v>
      </c>
      <c r="B57" s="9" t="s">
        <v>146</v>
      </c>
      <c r="C57" s="8">
        <f t="shared" si="2"/>
        <v>1000</v>
      </c>
      <c r="D57" s="8"/>
      <c r="E57" s="8"/>
      <c r="F57" s="10">
        <f t="shared" si="1"/>
        <v>1000</v>
      </c>
    </row>
    <row r="58" ht="18" customHeight="1" spans="1:6">
      <c r="A58" s="6">
        <v>54</v>
      </c>
      <c r="B58" s="9" t="s">
        <v>187</v>
      </c>
      <c r="C58" s="10">
        <f t="shared" si="2"/>
        <v>1000</v>
      </c>
      <c r="D58" s="10"/>
      <c r="E58" s="10"/>
      <c r="F58" s="10">
        <f t="shared" si="1"/>
        <v>1000</v>
      </c>
    </row>
    <row r="59" ht="18" customHeight="1" spans="1:6">
      <c r="A59" s="6">
        <v>55</v>
      </c>
      <c r="B59" s="9" t="s">
        <v>80</v>
      </c>
      <c r="C59" s="10"/>
      <c r="D59" s="10">
        <f>428+288+188</f>
        <v>904</v>
      </c>
      <c r="E59" s="10"/>
      <c r="F59" s="10">
        <f t="shared" si="1"/>
        <v>904</v>
      </c>
    </row>
    <row r="60" ht="18" customHeight="1" spans="1:6">
      <c r="A60" s="6">
        <v>56</v>
      </c>
      <c r="B60" s="9" t="s">
        <v>22</v>
      </c>
      <c r="C60" s="8">
        <f>888</f>
        <v>888</v>
      </c>
      <c r="D60" s="8"/>
      <c r="E60" s="8"/>
      <c r="F60" s="8">
        <f t="shared" si="1"/>
        <v>888</v>
      </c>
    </row>
    <row r="61" ht="18" customHeight="1" spans="1:6">
      <c r="A61" s="6">
        <v>57</v>
      </c>
      <c r="B61" s="9" t="s">
        <v>59</v>
      </c>
      <c r="C61" s="8">
        <f>500</f>
        <v>500</v>
      </c>
      <c r="D61" s="8">
        <f>388</f>
        <v>388</v>
      </c>
      <c r="E61" s="8"/>
      <c r="F61" s="8">
        <f t="shared" si="1"/>
        <v>888</v>
      </c>
    </row>
    <row r="62" ht="18" customHeight="1" spans="1:6">
      <c r="A62" s="6">
        <v>58</v>
      </c>
      <c r="B62" s="9" t="s">
        <v>232</v>
      </c>
      <c r="C62" s="10"/>
      <c r="D62" s="10">
        <f>168+98+388+169</f>
        <v>823</v>
      </c>
      <c r="E62" s="10"/>
      <c r="F62" s="10">
        <f t="shared" si="1"/>
        <v>823</v>
      </c>
    </row>
    <row r="63" ht="18" customHeight="1" spans="1:6">
      <c r="A63" s="6">
        <v>59</v>
      </c>
      <c r="B63" s="9" t="s">
        <v>141</v>
      </c>
      <c r="C63" s="8">
        <f>800</f>
        <v>800</v>
      </c>
      <c r="D63" s="8"/>
      <c r="E63" s="8"/>
      <c r="F63" s="10">
        <f t="shared" si="1"/>
        <v>800</v>
      </c>
    </row>
    <row r="64" ht="18" customHeight="1" spans="1:6">
      <c r="A64" s="6">
        <v>60</v>
      </c>
      <c r="B64" s="9" t="s">
        <v>87</v>
      </c>
      <c r="C64" s="8">
        <f>388+333</f>
        <v>721</v>
      </c>
      <c r="D64" s="8"/>
      <c r="E64" s="8"/>
      <c r="F64" s="8">
        <f t="shared" si="1"/>
        <v>721</v>
      </c>
    </row>
    <row r="65" ht="18" customHeight="1" spans="1:6">
      <c r="A65" s="6">
        <v>61</v>
      </c>
      <c r="B65" s="9" t="s">
        <v>685</v>
      </c>
      <c r="C65" s="10"/>
      <c r="D65" s="10"/>
      <c r="E65" s="10">
        <f>318+298+66</f>
        <v>682</v>
      </c>
      <c r="F65" s="10">
        <f t="shared" si="1"/>
        <v>682</v>
      </c>
    </row>
    <row r="66" ht="18" customHeight="1" spans="1:6">
      <c r="A66" s="6">
        <v>62</v>
      </c>
      <c r="B66" s="9" t="s">
        <v>126</v>
      </c>
      <c r="C66" s="8">
        <f>666</f>
        <v>666</v>
      </c>
      <c r="D66" s="8"/>
      <c r="E66" s="8"/>
      <c r="F66" s="10">
        <f t="shared" si="1"/>
        <v>666</v>
      </c>
    </row>
    <row r="67" ht="18" customHeight="1" spans="1:6">
      <c r="A67" s="6">
        <v>63</v>
      </c>
      <c r="B67" s="9" t="s">
        <v>686</v>
      </c>
      <c r="C67" s="10"/>
      <c r="D67" s="10"/>
      <c r="E67" s="10">
        <f>256+228+138</f>
        <v>622</v>
      </c>
      <c r="F67" s="10">
        <f t="shared" si="1"/>
        <v>622</v>
      </c>
    </row>
    <row r="68" ht="18" customHeight="1" spans="1:6">
      <c r="A68" s="6">
        <v>64</v>
      </c>
      <c r="B68" s="9" t="s">
        <v>163</v>
      </c>
      <c r="C68" s="10">
        <f>520</f>
        <v>520</v>
      </c>
      <c r="D68" s="10"/>
      <c r="E68" s="10">
        <f>100</f>
        <v>100</v>
      </c>
      <c r="F68" s="10">
        <f t="shared" si="1"/>
        <v>620</v>
      </c>
    </row>
    <row r="69" ht="18" customHeight="1" spans="1:6">
      <c r="A69" s="6">
        <v>65</v>
      </c>
      <c r="B69" s="9" t="s">
        <v>181</v>
      </c>
      <c r="C69" s="10"/>
      <c r="D69" s="10">
        <f>318+298</f>
        <v>616</v>
      </c>
      <c r="E69" s="10"/>
      <c r="F69" s="10">
        <f t="shared" ref="F69:F100" si="3">SUM(C69:E69)</f>
        <v>616</v>
      </c>
    </row>
    <row r="70" ht="18" customHeight="1" spans="1:6">
      <c r="A70" s="6">
        <v>66</v>
      </c>
      <c r="B70" s="9" t="s">
        <v>112</v>
      </c>
      <c r="C70" s="8">
        <f>532</f>
        <v>532</v>
      </c>
      <c r="D70" s="8"/>
      <c r="E70" s="8"/>
      <c r="F70" s="10">
        <f t="shared" si="3"/>
        <v>532</v>
      </c>
    </row>
    <row r="71" ht="18" customHeight="1" spans="1:6">
      <c r="A71" s="6">
        <v>67</v>
      </c>
      <c r="B71" s="9" t="s">
        <v>33</v>
      </c>
      <c r="C71" s="8">
        <f>388</f>
        <v>388</v>
      </c>
      <c r="D71" s="8"/>
      <c r="E71" s="8">
        <f>123</f>
        <v>123</v>
      </c>
      <c r="F71" s="8">
        <f t="shared" si="3"/>
        <v>511</v>
      </c>
    </row>
    <row r="72" ht="18" customHeight="1" spans="1:6">
      <c r="A72" s="6">
        <v>68</v>
      </c>
      <c r="B72" s="9" t="s">
        <v>68</v>
      </c>
      <c r="C72" s="8">
        <f>500</f>
        <v>500</v>
      </c>
      <c r="D72" s="8"/>
      <c r="E72" s="8"/>
      <c r="F72" s="8">
        <f t="shared" si="3"/>
        <v>500</v>
      </c>
    </row>
    <row r="73" ht="18" customHeight="1" spans="1:6">
      <c r="A73" s="6">
        <v>69</v>
      </c>
      <c r="B73" s="9" t="s">
        <v>131</v>
      </c>
      <c r="C73" s="8">
        <f>500</f>
        <v>500</v>
      </c>
      <c r="D73" s="8"/>
      <c r="E73" s="8"/>
      <c r="F73" s="10">
        <f t="shared" si="3"/>
        <v>500</v>
      </c>
    </row>
    <row r="74" ht="18" customHeight="1" spans="1:6">
      <c r="A74" s="6">
        <v>70</v>
      </c>
      <c r="B74" s="9" t="s">
        <v>221</v>
      </c>
      <c r="C74" s="10">
        <f>500</f>
        <v>500</v>
      </c>
      <c r="D74" s="10"/>
      <c r="E74" s="10"/>
      <c r="F74" s="10">
        <f t="shared" si="3"/>
        <v>500</v>
      </c>
    </row>
    <row r="75" ht="18" customHeight="1" spans="1:6">
      <c r="A75" s="6">
        <v>71</v>
      </c>
      <c r="B75" s="9" t="s">
        <v>74</v>
      </c>
      <c r="C75" s="8">
        <f>168</f>
        <v>168</v>
      </c>
      <c r="D75" s="8"/>
      <c r="E75" s="8">
        <f>120+208</f>
        <v>328</v>
      </c>
      <c r="F75" s="10">
        <f t="shared" si="3"/>
        <v>496</v>
      </c>
    </row>
    <row r="76" ht="18" customHeight="1" spans="1:6">
      <c r="A76" s="6">
        <v>72</v>
      </c>
      <c r="B76" s="9" t="s">
        <v>273</v>
      </c>
      <c r="C76" s="10"/>
      <c r="D76" s="10">
        <f>120+118</f>
        <v>238</v>
      </c>
      <c r="E76" s="13">
        <f>138+99</f>
        <v>237</v>
      </c>
      <c r="F76" s="10">
        <f t="shared" si="3"/>
        <v>475</v>
      </c>
    </row>
    <row r="77" ht="18" customHeight="1" spans="1:6">
      <c r="A77" s="6">
        <v>73</v>
      </c>
      <c r="B77" s="9" t="s">
        <v>687</v>
      </c>
      <c r="C77" s="8"/>
      <c r="D77" s="8"/>
      <c r="E77" s="8">
        <f>100+227+133</f>
        <v>460</v>
      </c>
      <c r="F77" s="10">
        <f t="shared" si="3"/>
        <v>460</v>
      </c>
    </row>
    <row r="78" ht="18" customHeight="1" spans="1:6">
      <c r="A78" s="6">
        <v>74</v>
      </c>
      <c r="B78" s="9" t="s">
        <v>297</v>
      </c>
      <c r="C78" s="10"/>
      <c r="D78" s="10">
        <f>168+188+98</f>
        <v>454</v>
      </c>
      <c r="E78" s="13"/>
      <c r="F78" s="10">
        <f t="shared" si="3"/>
        <v>454</v>
      </c>
    </row>
    <row r="79" ht="18" customHeight="1" spans="1:6">
      <c r="A79" s="6">
        <v>75</v>
      </c>
      <c r="B79" s="9" t="s">
        <v>688</v>
      </c>
      <c r="C79" s="10"/>
      <c r="D79" s="10"/>
      <c r="E79" s="13">
        <f>280+158</f>
        <v>438</v>
      </c>
      <c r="F79" s="10">
        <f t="shared" si="3"/>
        <v>438</v>
      </c>
    </row>
    <row r="80" ht="18" customHeight="1" spans="1:6">
      <c r="A80" s="6">
        <v>76</v>
      </c>
      <c r="B80" s="9" t="s">
        <v>156</v>
      </c>
      <c r="C80" s="10">
        <f>288</f>
        <v>288</v>
      </c>
      <c r="D80" s="10"/>
      <c r="E80" s="10">
        <f>120</f>
        <v>120</v>
      </c>
      <c r="F80" s="10">
        <f t="shared" si="3"/>
        <v>408</v>
      </c>
    </row>
    <row r="81" ht="18" customHeight="1" spans="1:6">
      <c r="A81" s="6">
        <v>77</v>
      </c>
      <c r="B81" s="9" t="s">
        <v>689</v>
      </c>
      <c r="C81" s="10"/>
      <c r="D81" s="10"/>
      <c r="E81" s="13">
        <f>279+118</f>
        <v>397</v>
      </c>
      <c r="F81" s="10">
        <f t="shared" si="3"/>
        <v>397</v>
      </c>
    </row>
    <row r="82" ht="18" customHeight="1" spans="1:6">
      <c r="A82" s="6">
        <v>78</v>
      </c>
      <c r="B82" s="9" t="s">
        <v>690</v>
      </c>
      <c r="C82" s="8">
        <v>388</v>
      </c>
      <c r="D82" s="8"/>
      <c r="E82" s="8"/>
      <c r="F82" s="10">
        <f t="shared" si="3"/>
        <v>388</v>
      </c>
    </row>
    <row r="83" ht="18" customHeight="1" spans="1:6">
      <c r="A83" s="6">
        <v>79</v>
      </c>
      <c r="B83" s="9" t="s">
        <v>691</v>
      </c>
      <c r="C83" s="10"/>
      <c r="D83" s="10"/>
      <c r="E83" s="10">
        <f>388</f>
        <v>388</v>
      </c>
      <c r="F83" s="10">
        <f t="shared" si="3"/>
        <v>388</v>
      </c>
    </row>
    <row r="84" ht="18" customHeight="1" spans="1:6">
      <c r="A84" s="6">
        <v>80</v>
      </c>
      <c r="B84" s="9" t="s">
        <v>692</v>
      </c>
      <c r="C84" s="10"/>
      <c r="D84" s="10"/>
      <c r="E84" s="13">
        <f>388</f>
        <v>388</v>
      </c>
      <c r="F84" s="10">
        <f t="shared" si="3"/>
        <v>388</v>
      </c>
    </row>
    <row r="85" ht="18" customHeight="1" spans="1:6">
      <c r="A85" s="6">
        <v>81</v>
      </c>
      <c r="B85" s="9" t="s">
        <v>55</v>
      </c>
      <c r="C85" s="8">
        <f>380</f>
        <v>380</v>
      </c>
      <c r="D85" s="8"/>
      <c r="E85" s="8"/>
      <c r="F85" s="8">
        <f t="shared" si="3"/>
        <v>380</v>
      </c>
    </row>
    <row r="86" ht="18" customHeight="1" spans="1:6">
      <c r="A86" s="6">
        <v>82</v>
      </c>
      <c r="B86" s="9" t="s">
        <v>693</v>
      </c>
      <c r="C86" s="10"/>
      <c r="D86" s="10"/>
      <c r="E86" s="13">
        <f>188+158</f>
        <v>346</v>
      </c>
      <c r="F86" s="10">
        <f t="shared" si="3"/>
        <v>346</v>
      </c>
    </row>
    <row r="87" ht="18" customHeight="1" spans="1:6">
      <c r="A87" s="6">
        <v>83</v>
      </c>
      <c r="B87" s="9" t="s">
        <v>246</v>
      </c>
      <c r="C87" s="10"/>
      <c r="D87" s="10">
        <f>50+52</f>
        <v>102</v>
      </c>
      <c r="E87" s="10">
        <f>238</f>
        <v>238</v>
      </c>
      <c r="F87" s="10">
        <f t="shared" si="3"/>
        <v>340</v>
      </c>
    </row>
    <row r="88" ht="18" customHeight="1" spans="1:6">
      <c r="A88" s="6">
        <v>84</v>
      </c>
      <c r="B88" s="9" t="s">
        <v>694</v>
      </c>
      <c r="C88" s="10"/>
      <c r="D88" s="10"/>
      <c r="E88" s="10">
        <f>169+169</f>
        <v>338</v>
      </c>
      <c r="F88" s="10">
        <f t="shared" si="3"/>
        <v>338</v>
      </c>
    </row>
    <row r="89" ht="18" customHeight="1" spans="1:6">
      <c r="A89" s="6">
        <v>85</v>
      </c>
      <c r="B89" s="9" t="s">
        <v>695</v>
      </c>
      <c r="C89" s="10"/>
      <c r="D89" s="10"/>
      <c r="E89" s="10">
        <f>240+92</f>
        <v>332</v>
      </c>
      <c r="F89" s="10">
        <f t="shared" si="3"/>
        <v>332</v>
      </c>
    </row>
    <row r="90" ht="18" customHeight="1" spans="1:6">
      <c r="A90" s="6">
        <v>86</v>
      </c>
      <c r="B90" s="9" t="s">
        <v>696</v>
      </c>
      <c r="C90" s="10"/>
      <c r="D90" s="10"/>
      <c r="E90" s="10">
        <f>88+240</f>
        <v>328</v>
      </c>
      <c r="F90" s="10">
        <f t="shared" si="3"/>
        <v>328</v>
      </c>
    </row>
    <row r="91" ht="18" customHeight="1" spans="1:6">
      <c r="A91" s="6">
        <v>87</v>
      </c>
      <c r="B91" s="9" t="s">
        <v>373</v>
      </c>
      <c r="C91" s="10"/>
      <c r="D91" s="10">
        <f>328</f>
        <v>328</v>
      </c>
      <c r="E91" s="13"/>
      <c r="F91" s="10">
        <f t="shared" si="3"/>
        <v>328</v>
      </c>
    </row>
    <row r="92" ht="18" customHeight="1" spans="1:6">
      <c r="A92" s="6">
        <v>88</v>
      </c>
      <c r="B92" s="9" t="s">
        <v>697</v>
      </c>
      <c r="C92" s="10"/>
      <c r="D92" s="10"/>
      <c r="E92" s="13">
        <f>188+118</f>
        <v>306</v>
      </c>
      <c r="F92" s="10">
        <f t="shared" si="3"/>
        <v>306</v>
      </c>
    </row>
    <row r="93" ht="18" customHeight="1" spans="1:6">
      <c r="A93" s="6">
        <v>89</v>
      </c>
      <c r="B93" s="9" t="s">
        <v>94</v>
      </c>
      <c r="C93" s="8">
        <f>300</f>
        <v>300</v>
      </c>
      <c r="D93" s="8"/>
      <c r="E93" s="8"/>
      <c r="F93" s="10">
        <f t="shared" si="3"/>
        <v>300</v>
      </c>
    </row>
    <row r="94" ht="18" customHeight="1" spans="1:6">
      <c r="A94" s="6">
        <v>90</v>
      </c>
      <c r="B94" s="9" t="s">
        <v>114</v>
      </c>
      <c r="C94" s="8">
        <f>300</f>
        <v>300</v>
      </c>
      <c r="D94" s="8"/>
      <c r="E94" s="8"/>
      <c r="F94" s="10">
        <f t="shared" si="3"/>
        <v>300</v>
      </c>
    </row>
    <row r="95" ht="18" customHeight="1" spans="1:6">
      <c r="A95" s="6">
        <v>91</v>
      </c>
      <c r="B95" s="9" t="s">
        <v>154</v>
      </c>
      <c r="C95" s="8">
        <f>300</f>
        <v>300</v>
      </c>
      <c r="D95" s="8"/>
      <c r="E95" s="8"/>
      <c r="F95" s="10">
        <f t="shared" si="3"/>
        <v>300</v>
      </c>
    </row>
    <row r="96" ht="18" customHeight="1" spans="1:6">
      <c r="A96" s="6">
        <v>92</v>
      </c>
      <c r="B96" s="9" t="s">
        <v>155</v>
      </c>
      <c r="C96" s="8">
        <f>200</f>
        <v>200</v>
      </c>
      <c r="D96" s="8">
        <f>99</f>
        <v>99</v>
      </c>
      <c r="E96" s="8"/>
      <c r="F96" s="10">
        <f t="shared" si="3"/>
        <v>299</v>
      </c>
    </row>
    <row r="97" ht="18" customHeight="1" spans="1:6">
      <c r="A97" s="6">
        <v>93</v>
      </c>
      <c r="B97" s="9" t="s">
        <v>133</v>
      </c>
      <c r="C97" s="8"/>
      <c r="D97" s="8">
        <f>99+99</f>
        <v>198</v>
      </c>
      <c r="E97" s="8">
        <f>100</f>
        <v>100</v>
      </c>
      <c r="F97" s="10">
        <f t="shared" si="3"/>
        <v>298</v>
      </c>
    </row>
    <row r="98" ht="18" customHeight="1" spans="1:6">
      <c r="A98" s="6">
        <v>94</v>
      </c>
      <c r="B98" s="9" t="s">
        <v>225</v>
      </c>
      <c r="C98" s="10"/>
      <c r="D98" s="10">
        <f>298</f>
        <v>298</v>
      </c>
      <c r="E98" s="10"/>
      <c r="F98" s="10">
        <f t="shared" si="3"/>
        <v>298</v>
      </c>
    </row>
    <row r="99" ht="18" customHeight="1" spans="1:6">
      <c r="A99" s="6">
        <v>95</v>
      </c>
      <c r="B99" s="9" t="s">
        <v>56</v>
      </c>
      <c r="C99" s="8">
        <f>288</f>
        <v>288</v>
      </c>
      <c r="D99" s="8"/>
      <c r="E99" s="8"/>
      <c r="F99" s="8">
        <f t="shared" si="3"/>
        <v>288</v>
      </c>
    </row>
    <row r="100" ht="18" customHeight="1" spans="1:6">
      <c r="A100" s="6">
        <v>96</v>
      </c>
      <c r="B100" s="9" t="s">
        <v>201</v>
      </c>
      <c r="C100" s="10"/>
      <c r="D100" s="10">
        <f>288</f>
        <v>288</v>
      </c>
      <c r="E100" s="10"/>
      <c r="F100" s="10">
        <f t="shared" si="3"/>
        <v>288</v>
      </c>
    </row>
    <row r="101" ht="18" customHeight="1" spans="1:6">
      <c r="A101" s="6">
        <v>97</v>
      </c>
      <c r="B101" s="9" t="s">
        <v>323</v>
      </c>
      <c r="C101" s="10"/>
      <c r="D101" s="10">
        <f>139+138</f>
        <v>277</v>
      </c>
      <c r="E101" s="13"/>
      <c r="F101" s="10">
        <f t="shared" ref="F101:F132" si="4">SUM(C101:E101)</f>
        <v>277</v>
      </c>
    </row>
    <row r="102" ht="18" customHeight="1" spans="1:6">
      <c r="A102" s="6">
        <v>98</v>
      </c>
      <c r="B102" s="9" t="s">
        <v>76</v>
      </c>
      <c r="C102" s="8">
        <f>268</f>
        <v>268</v>
      </c>
      <c r="D102" s="8"/>
      <c r="E102" s="8"/>
      <c r="F102" s="10">
        <f t="shared" si="4"/>
        <v>268</v>
      </c>
    </row>
    <row r="103" ht="18" customHeight="1" spans="1:6">
      <c r="A103" s="6">
        <v>99</v>
      </c>
      <c r="B103" s="9" t="s">
        <v>698</v>
      </c>
      <c r="C103" s="10"/>
      <c r="D103" s="10"/>
      <c r="E103" s="10">
        <f>138+98</f>
        <v>236</v>
      </c>
      <c r="F103" s="10">
        <f t="shared" si="4"/>
        <v>236</v>
      </c>
    </row>
    <row r="104" ht="18" customHeight="1" spans="1:6">
      <c r="A104" s="6">
        <v>100</v>
      </c>
      <c r="B104" s="9" t="s">
        <v>699</v>
      </c>
      <c r="C104" s="10"/>
      <c r="D104" s="10"/>
      <c r="E104" s="13">
        <f>118+118</f>
        <v>236</v>
      </c>
      <c r="F104" s="10">
        <f t="shared" si="4"/>
        <v>236</v>
      </c>
    </row>
    <row r="105" ht="18" customHeight="1" spans="1:6">
      <c r="A105" s="6">
        <v>101</v>
      </c>
      <c r="B105" s="9" t="s">
        <v>700</v>
      </c>
      <c r="C105" s="10"/>
      <c r="D105" s="10"/>
      <c r="E105" s="10">
        <f>230</f>
        <v>230</v>
      </c>
      <c r="F105" s="10">
        <f t="shared" si="4"/>
        <v>230</v>
      </c>
    </row>
    <row r="106" ht="18" customHeight="1" spans="1:6">
      <c r="A106" s="6">
        <v>102</v>
      </c>
      <c r="B106" s="9" t="s">
        <v>316</v>
      </c>
      <c r="C106" s="10"/>
      <c r="D106" s="10">
        <f>111+111</f>
        <v>222</v>
      </c>
      <c r="E106" s="13"/>
      <c r="F106" s="10">
        <f t="shared" si="4"/>
        <v>222</v>
      </c>
    </row>
    <row r="107" ht="18" customHeight="1" spans="1:6">
      <c r="A107" s="6">
        <v>103</v>
      </c>
      <c r="B107" s="9" t="s">
        <v>237</v>
      </c>
      <c r="C107" s="10"/>
      <c r="D107" s="10">
        <f>208</f>
        <v>208</v>
      </c>
      <c r="E107" s="10"/>
      <c r="F107" s="10">
        <f t="shared" si="4"/>
        <v>208</v>
      </c>
    </row>
    <row r="108" ht="18" customHeight="1" spans="1:6">
      <c r="A108" s="6">
        <v>104</v>
      </c>
      <c r="B108" s="9" t="s">
        <v>65</v>
      </c>
      <c r="C108" s="8">
        <f>200</f>
        <v>200</v>
      </c>
      <c r="D108" s="8"/>
      <c r="E108" s="8"/>
      <c r="F108" s="8">
        <f t="shared" si="4"/>
        <v>200</v>
      </c>
    </row>
    <row r="109" ht="18" customHeight="1" spans="1:6">
      <c r="A109" s="6">
        <v>105</v>
      </c>
      <c r="B109" s="9" t="s">
        <v>66</v>
      </c>
      <c r="C109" s="8">
        <f>200</f>
        <v>200</v>
      </c>
      <c r="D109" s="8"/>
      <c r="E109" s="8"/>
      <c r="F109" s="8">
        <f t="shared" si="4"/>
        <v>200</v>
      </c>
    </row>
    <row r="110" ht="18" customHeight="1" spans="1:6">
      <c r="A110" s="6">
        <v>106</v>
      </c>
      <c r="B110" s="9" t="s">
        <v>88</v>
      </c>
      <c r="C110" s="8">
        <f>200</f>
        <v>200</v>
      </c>
      <c r="D110" s="8"/>
      <c r="E110" s="8"/>
      <c r="F110" s="8">
        <f t="shared" si="4"/>
        <v>200</v>
      </c>
    </row>
    <row r="111" ht="18" customHeight="1" spans="1:6">
      <c r="A111" s="6">
        <v>107</v>
      </c>
      <c r="B111" s="9" t="s">
        <v>123</v>
      </c>
      <c r="C111" s="8">
        <f>200</f>
        <v>200</v>
      </c>
      <c r="D111" s="8"/>
      <c r="E111" s="8"/>
      <c r="F111" s="10">
        <f t="shared" si="4"/>
        <v>200</v>
      </c>
    </row>
    <row r="112" ht="18" customHeight="1" spans="1:6">
      <c r="A112" s="6">
        <v>108</v>
      </c>
      <c r="B112" s="9" t="s">
        <v>129</v>
      </c>
      <c r="C112" s="8">
        <f>200</f>
        <v>200</v>
      </c>
      <c r="D112" s="8"/>
      <c r="E112" s="8"/>
      <c r="F112" s="10">
        <f t="shared" si="4"/>
        <v>200</v>
      </c>
    </row>
    <row r="113" ht="18" customHeight="1" spans="1:6">
      <c r="A113" s="6">
        <v>109</v>
      </c>
      <c r="B113" s="9" t="s">
        <v>690</v>
      </c>
      <c r="C113" s="8">
        <v>200</v>
      </c>
      <c r="D113" s="8"/>
      <c r="E113" s="8"/>
      <c r="F113" s="10">
        <f t="shared" si="4"/>
        <v>200</v>
      </c>
    </row>
    <row r="114" ht="18" customHeight="1" spans="1:6">
      <c r="A114" s="6">
        <v>110</v>
      </c>
      <c r="B114" s="9" t="s">
        <v>147</v>
      </c>
      <c r="C114" s="8">
        <f>200</f>
        <v>200</v>
      </c>
      <c r="D114" s="8"/>
      <c r="E114" s="8"/>
      <c r="F114" s="10">
        <f t="shared" si="4"/>
        <v>200</v>
      </c>
    </row>
    <row r="115" ht="18" customHeight="1" spans="1:6">
      <c r="A115" s="6">
        <v>111</v>
      </c>
      <c r="B115" s="9" t="s">
        <v>158</v>
      </c>
      <c r="C115" s="10">
        <f>200</f>
        <v>200</v>
      </c>
      <c r="D115" s="10"/>
      <c r="E115" s="10"/>
      <c r="F115" s="10">
        <f t="shared" si="4"/>
        <v>200</v>
      </c>
    </row>
    <row r="116" ht="18" customHeight="1" spans="1:6">
      <c r="A116" s="6">
        <v>112</v>
      </c>
      <c r="B116" s="9" t="s">
        <v>701</v>
      </c>
      <c r="C116" s="10"/>
      <c r="D116" s="10"/>
      <c r="E116" s="10">
        <f>52+139</f>
        <v>191</v>
      </c>
      <c r="F116" s="10">
        <f t="shared" si="4"/>
        <v>191</v>
      </c>
    </row>
    <row r="117" ht="18" customHeight="1" spans="1:6">
      <c r="A117" s="6">
        <v>113</v>
      </c>
      <c r="B117" s="9" t="s">
        <v>106</v>
      </c>
      <c r="C117" s="8">
        <f>188</f>
        <v>188</v>
      </c>
      <c r="D117" s="8"/>
      <c r="E117" s="8"/>
      <c r="F117" s="10">
        <f t="shared" si="4"/>
        <v>188</v>
      </c>
    </row>
    <row r="118" ht="18" customHeight="1" spans="1:6">
      <c r="A118" s="6">
        <v>114</v>
      </c>
      <c r="B118" s="9" t="s">
        <v>702</v>
      </c>
      <c r="C118" s="10"/>
      <c r="D118" s="10"/>
      <c r="E118" s="13">
        <f>188</f>
        <v>188</v>
      </c>
      <c r="F118" s="10">
        <f t="shared" si="4"/>
        <v>188</v>
      </c>
    </row>
    <row r="119" ht="18" customHeight="1" spans="1:6">
      <c r="A119" s="6">
        <v>115</v>
      </c>
      <c r="B119" s="9" t="s">
        <v>703</v>
      </c>
      <c r="C119" s="8">
        <f>168</f>
        <v>168</v>
      </c>
      <c r="D119" s="8"/>
      <c r="E119" s="8"/>
      <c r="F119" s="10">
        <f t="shared" si="4"/>
        <v>168</v>
      </c>
    </row>
    <row r="120" ht="18" customHeight="1" spans="1:6">
      <c r="A120" s="6">
        <v>116</v>
      </c>
      <c r="B120" s="9" t="s">
        <v>704</v>
      </c>
      <c r="C120" s="10"/>
      <c r="D120" s="10"/>
      <c r="E120" s="10">
        <f>168</f>
        <v>168</v>
      </c>
      <c r="F120" s="10">
        <f t="shared" si="4"/>
        <v>168</v>
      </c>
    </row>
    <row r="121" ht="18" customHeight="1" spans="1:6">
      <c r="A121" s="6">
        <v>117</v>
      </c>
      <c r="B121" s="9" t="s">
        <v>705</v>
      </c>
      <c r="C121" s="10"/>
      <c r="D121" s="10"/>
      <c r="E121" s="13">
        <f>139</f>
        <v>139</v>
      </c>
      <c r="F121" s="10">
        <f t="shared" si="4"/>
        <v>139</v>
      </c>
    </row>
    <row r="122" ht="18" customHeight="1" spans="1:6">
      <c r="A122" s="6">
        <v>118</v>
      </c>
      <c r="B122" s="9" t="s">
        <v>706</v>
      </c>
      <c r="C122" s="10"/>
      <c r="D122" s="10"/>
      <c r="E122" s="13">
        <f>138</f>
        <v>138</v>
      </c>
      <c r="F122" s="10">
        <f t="shared" si="4"/>
        <v>138</v>
      </c>
    </row>
    <row r="123" ht="18" customHeight="1" spans="1:6">
      <c r="A123" s="6">
        <v>119</v>
      </c>
      <c r="B123" s="9" t="s">
        <v>707</v>
      </c>
      <c r="C123" s="10"/>
      <c r="D123" s="10"/>
      <c r="E123" s="10">
        <f>128</f>
        <v>128</v>
      </c>
      <c r="F123" s="10">
        <f t="shared" si="4"/>
        <v>128</v>
      </c>
    </row>
    <row r="124" ht="18" customHeight="1" spans="1:6">
      <c r="A124" s="6">
        <v>120</v>
      </c>
      <c r="B124" s="9" t="s">
        <v>708</v>
      </c>
      <c r="C124" s="10"/>
      <c r="D124" s="10"/>
      <c r="E124" s="13">
        <f>120</f>
        <v>120</v>
      </c>
      <c r="F124" s="10">
        <f t="shared" si="4"/>
        <v>120</v>
      </c>
    </row>
    <row r="125" ht="18" customHeight="1" spans="1:6">
      <c r="A125" s="6">
        <v>121</v>
      </c>
      <c r="B125" s="9" t="s">
        <v>709</v>
      </c>
      <c r="C125" s="10"/>
      <c r="D125" s="10"/>
      <c r="E125" s="13">
        <f>111</f>
        <v>111</v>
      </c>
      <c r="F125" s="10">
        <f t="shared" si="4"/>
        <v>111</v>
      </c>
    </row>
    <row r="126" ht="18" customHeight="1" spans="1:6">
      <c r="A126" s="6">
        <v>122</v>
      </c>
      <c r="B126" s="9" t="s">
        <v>710</v>
      </c>
      <c r="C126" s="10"/>
      <c r="D126" s="10"/>
      <c r="E126" s="13">
        <f>108</f>
        <v>108</v>
      </c>
      <c r="F126" s="10">
        <f t="shared" si="4"/>
        <v>108</v>
      </c>
    </row>
    <row r="127" ht="18" customHeight="1" spans="1:6">
      <c r="A127" s="6">
        <v>123</v>
      </c>
      <c r="B127" s="9" t="s">
        <v>50</v>
      </c>
      <c r="C127" s="8">
        <f>100</f>
        <v>100</v>
      </c>
      <c r="D127" s="8"/>
      <c r="E127" s="8"/>
      <c r="F127" s="8">
        <f t="shared" si="4"/>
        <v>100</v>
      </c>
    </row>
    <row r="128" ht="18" customHeight="1" spans="1:6">
      <c r="A128" s="6">
        <v>124</v>
      </c>
      <c r="B128" s="9" t="s">
        <v>51</v>
      </c>
      <c r="C128" s="8">
        <f>100</f>
        <v>100</v>
      </c>
      <c r="D128" s="8"/>
      <c r="E128" s="8"/>
      <c r="F128" s="8">
        <f t="shared" si="4"/>
        <v>100</v>
      </c>
    </row>
    <row r="129" ht="18" customHeight="1" spans="1:6">
      <c r="A129" s="6">
        <v>125</v>
      </c>
      <c r="B129" s="9" t="s">
        <v>53</v>
      </c>
      <c r="C129" s="8">
        <f>100</f>
        <v>100</v>
      </c>
      <c r="D129" s="8"/>
      <c r="E129" s="8"/>
      <c r="F129" s="8">
        <f t="shared" si="4"/>
        <v>100</v>
      </c>
    </row>
    <row r="130" ht="18" customHeight="1" spans="1:6">
      <c r="A130" s="6">
        <v>126</v>
      </c>
      <c r="B130" s="9" t="s">
        <v>50</v>
      </c>
      <c r="C130" s="8">
        <f>100</f>
        <v>100</v>
      </c>
      <c r="D130" s="8"/>
      <c r="E130" s="8"/>
      <c r="F130" s="8">
        <f t="shared" si="4"/>
        <v>100</v>
      </c>
    </row>
    <row r="131" ht="18" customHeight="1" spans="1:6">
      <c r="A131" s="6">
        <v>127</v>
      </c>
      <c r="B131" s="9" t="s">
        <v>98</v>
      </c>
      <c r="C131" s="8"/>
      <c r="D131" s="8">
        <f>100</f>
        <v>100</v>
      </c>
      <c r="E131" s="8"/>
      <c r="F131" s="10">
        <f t="shared" si="4"/>
        <v>100</v>
      </c>
    </row>
    <row r="132" ht="18" customHeight="1" spans="1:6">
      <c r="A132" s="6">
        <v>128</v>
      </c>
      <c r="B132" s="9" t="s">
        <v>139</v>
      </c>
      <c r="C132" s="8">
        <f>100</f>
        <v>100</v>
      </c>
      <c r="D132" s="8"/>
      <c r="E132" s="8"/>
      <c r="F132" s="10">
        <f t="shared" si="4"/>
        <v>100</v>
      </c>
    </row>
    <row r="133" ht="18" customHeight="1" spans="1:6">
      <c r="A133" s="6">
        <v>129</v>
      </c>
      <c r="B133" s="9" t="s">
        <v>140</v>
      </c>
      <c r="C133" s="8">
        <f>100</f>
        <v>100</v>
      </c>
      <c r="D133" s="8"/>
      <c r="E133" s="8"/>
      <c r="F133" s="10">
        <f t="shared" ref="F133:F140" si="5">SUM(C133:E133)</f>
        <v>100</v>
      </c>
    </row>
    <row r="134" ht="18" customHeight="1" spans="1:6">
      <c r="A134" s="6">
        <v>130</v>
      </c>
      <c r="B134" s="9" t="s">
        <v>165</v>
      </c>
      <c r="C134" s="10">
        <v>100</v>
      </c>
      <c r="D134" s="10"/>
      <c r="E134" s="10"/>
      <c r="F134" s="10">
        <f t="shared" si="5"/>
        <v>100</v>
      </c>
    </row>
    <row r="135" ht="18" customHeight="1" spans="1:6">
      <c r="A135" s="6">
        <v>131</v>
      </c>
      <c r="B135" s="9" t="s">
        <v>166</v>
      </c>
      <c r="C135" s="10">
        <v>100</v>
      </c>
      <c r="D135" s="10"/>
      <c r="E135" s="10"/>
      <c r="F135" s="10">
        <f t="shared" si="5"/>
        <v>100</v>
      </c>
    </row>
    <row r="136" ht="18" customHeight="1" spans="1:6">
      <c r="A136" s="6">
        <v>132</v>
      </c>
      <c r="B136" s="9" t="s">
        <v>711</v>
      </c>
      <c r="C136" s="10"/>
      <c r="D136" s="10"/>
      <c r="E136" s="10">
        <f>99</f>
        <v>99</v>
      </c>
      <c r="F136" s="10">
        <f t="shared" si="5"/>
        <v>99</v>
      </c>
    </row>
    <row r="137" ht="18" customHeight="1" spans="1:6">
      <c r="A137" s="6">
        <v>133</v>
      </c>
      <c r="B137" s="9" t="s">
        <v>712</v>
      </c>
      <c r="C137" s="10"/>
      <c r="D137" s="10"/>
      <c r="E137" s="13">
        <f>97</f>
        <v>97</v>
      </c>
      <c r="F137" s="10">
        <f t="shared" si="5"/>
        <v>97</v>
      </c>
    </row>
    <row r="138" ht="18" customHeight="1" spans="1:6">
      <c r="A138" s="6">
        <v>134</v>
      </c>
      <c r="B138" s="9" t="s">
        <v>567</v>
      </c>
      <c r="C138" s="10"/>
      <c r="D138" s="10"/>
      <c r="E138" s="13">
        <f>88</f>
        <v>88</v>
      </c>
      <c r="F138" s="10">
        <f t="shared" si="5"/>
        <v>88</v>
      </c>
    </row>
    <row r="139" ht="18" customHeight="1" spans="1:6">
      <c r="A139" s="6">
        <v>135</v>
      </c>
      <c r="B139" s="9" t="s">
        <v>50</v>
      </c>
      <c r="C139" s="10"/>
      <c r="D139" s="10"/>
      <c r="E139" s="13">
        <v>78</v>
      </c>
      <c r="F139" s="10">
        <f t="shared" si="5"/>
        <v>78</v>
      </c>
    </row>
    <row r="140" ht="18" customHeight="1" spans="1:6">
      <c r="A140" s="6">
        <v>136</v>
      </c>
      <c r="B140" s="9" t="s">
        <v>184</v>
      </c>
      <c r="C140" s="10"/>
      <c r="D140" s="10">
        <f>66</f>
        <v>66</v>
      </c>
      <c r="E140" s="10"/>
      <c r="F140" s="10">
        <f t="shared" si="5"/>
        <v>66</v>
      </c>
    </row>
    <row r="141" ht="18" customHeight="1" spans="1:6">
      <c r="A141" s="6"/>
      <c r="B141" s="9"/>
      <c r="C141" s="10"/>
      <c r="D141" s="10"/>
      <c r="E141" s="13"/>
      <c r="F141" s="10"/>
    </row>
    <row r="142" ht="18" customHeight="1" spans="1:6">
      <c r="A142" s="6"/>
      <c r="B142" s="9"/>
      <c r="C142" s="10"/>
      <c r="D142" s="10"/>
      <c r="E142" s="13"/>
      <c r="F142" s="10"/>
    </row>
    <row r="143" ht="18" customHeight="1" spans="1:6">
      <c r="A143" s="6"/>
      <c r="B143" s="9"/>
      <c r="C143" s="10"/>
      <c r="D143" s="10"/>
      <c r="E143" s="13"/>
      <c r="F143" s="10"/>
    </row>
    <row r="144" ht="18" customHeight="1" spans="1:6">
      <c r="A144" s="6"/>
      <c r="B144" s="9"/>
      <c r="C144" s="10"/>
      <c r="D144" s="10"/>
      <c r="E144" s="13"/>
      <c r="F144" s="10"/>
    </row>
    <row r="145" ht="18" customHeight="1" spans="1:6">
      <c r="A145" s="6"/>
      <c r="B145" s="9"/>
      <c r="C145" s="10"/>
      <c r="D145" s="10"/>
      <c r="E145" s="13"/>
      <c r="F145" s="10"/>
    </row>
    <row r="146" ht="18" customHeight="1" spans="1:6">
      <c r="A146" s="6"/>
      <c r="B146" s="9"/>
      <c r="C146" s="10"/>
      <c r="D146" s="10"/>
      <c r="E146" s="13"/>
      <c r="F146" s="10"/>
    </row>
    <row r="147" ht="18" customHeight="1" spans="1:6">
      <c r="A147" s="6"/>
      <c r="B147" s="9"/>
      <c r="C147" s="10"/>
      <c r="D147" s="10"/>
      <c r="E147" s="10"/>
      <c r="F147" s="10"/>
    </row>
    <row r="148" ht="18" customHeight="1" spans="1:6">
      <c r="A148" s="6"/>
      <c r="B148" s="15"/>
      <c r="C148" s="10"/>
      <c r="D148" s="10"/>
      <c r="E148" s="10"/>
      <c r="F148" s="10"/>
    </row>
    <row r="149" ht="18" customHeight="1" spans="1:6">
      <c r="A149" s="6"/>
      <c r="B149" s="15"/>
      <c r="C149" s="16" t="s">
        <v>713</v>
      </c>
      <c r="D149" s="16" t="s">
        <v>714</v>
      </c>
      <c r="E149" s="16" t="s">
        <v>715</v>
      </c>
      <c r="F149" s="16" t="s">
        <v>716</v>
      </c>
    </row>
    <row r="150" ht="18" customHeight="1" spans="1:6">
      <c r="A150" s="6"/>
      <c r="B150" s="15"/>
      <c r="C150" s="10">
        <f>SUM(C5:C149)</f>
        <v>193353.88</v>
      </c>
      <c r="D150" s="10">
        <f>SUM(D5:D149)</f>
        <v>23050.44</v>
      </c>
      <c r="E150" s="10">
        <f>SUM(E5:E149)</f>
        <v>23050.44</v>
      </c>
      <c r="F150" s="10">
        <f>C150+D150</f>
        <v>216404.32</v>
      </c>
    </row>
    <row r="151" ht="20.1" customHeight="1" spans="1:6">
      <c r="A151" s="17"/>
      <c r="B151" s="18" t="s">
        <v>717</v>
      </c>
      <c r="C151" s="18"/>
      <c r="D151" s="18"/>
      <c r="E151" s="18"/>
      <c r="F151" s="18"/>
    </row>
    <row r="152" spans="1:6">
      <c r="A152" s="17"/>
      <c r="B152" s="19"/>
      <c r="C152" s="20"/>
      <c r="D152" s="20"/>
      <c r="E152" s="20"/>
      <c r="F152" s="20"/>
    </row>
    <row r="153" spans="1:6">
      <c r="A153" s="17"/>
      <c r="B153" s="19"/>
      <c r="C153" s="20"/>
      <c r="D153" s="20"/>
      <c r="E153" s="20"/>
      <c r="F153" s="20"/>
    </row>
    <row r="154" spans="1:6">
      <c r="A154" s="17"/>
      <c r="B154" s="19"/>
      <c r="C154" s="20"/>
      <c r="D154" s="20"/>
      <c r="E154" s="20"/>
      <c r="F154" s="20"/>
    </row>
  </sheetData>
  <sortState ref="B5:F140">
    <sortCondition ref="F5" descending="1"/>
  </sortState>
  <mergeCells count="2">
    <mergeCell ref="B151:F151"/>
    <mergeCell ref="A1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收支明细</vt:lpstr>
      <vt:lpstr>求助者善款发放安排</vt:lpstr>
      <vt:lpstr>公帐收支明细</vt:lpstr>
      <vt:lpstr>理事会基金</vt:lpstr>
      <vt:lpstr>特困户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张胜昌</cp:lastModifiedBy>
  <dcterms:created xsi:type="dcterms:W3CDTF">2016-12-13T12:29:00Z</dcterms:created>
  <dcterms:modified xsi:type="dcterms:W3CDTF">2021-01-17T09:12:32Z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