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收支明细" sheetId="1" r:id="rId1"/>
    <sheet name="求助者善款发放安排" sheetId="2" r:id="rId2"/>
    <sheet name="公帐收支明细" sheetId="3" r:id="rId3"/>
    <sheet name="理事会基金" sheetId="4" r:id="rId4"/>
    <sheet name="特困户" sheetId="5" r:id="rId5"/>
    <sheet name="排名" sheetId="6" r:id="rId6"/>
  </sheets>
  <calcPr calcId="144525"/>
</workbook>
</file>

<file path=xl/sharedStrings.xml><?xml version="1.0" encoding="utf-8"?>
<sst xmlns="http://schemas.openxmlformats.org/spreadsheetml/2006/main" count="1479" uniqueCount="624">
  <si>
    <t>2021年埔寨镇公益会捐款和拍卖及开支明细统计表</t>
  </si>
  <si>
    <t>以下姓名恕不作称呼</t>
  </si>
  <si>
    <r>
      <rPr>
        <b/>
        <i/>
        <sz val="16"/>
        <color rgb="FF000000"/>
        <rFont val="宋体"/>
        <charset val="134"/>
      </rPr>
      <t xml:space="preserve">   </t>
    </r>
    <r>
      <rPr>
        <b/>
        <i/>
        <sz val="16"/>
        <color rgb="FF000000"/>
        <rFont val="宋体"/>
        <charset val="134"/>
      </rPr>
      <t xml:space="preserve">     </t>
    </r>
    <r>
      <rPr>
        <b/>
        <i/>
        <sz val="16"/>
        <color rgb="FF000000"/>
        <rFont val="宋体"/>
        <charset val="134"/>
      </rPr>
      <t xml:space="preserve"> 开心公益，自愿量力！欢迎大家为家乡公益献爱心！</t>
    </r>
  </si>
  <si>
    <t>编号</t>
  </si>
  <si>
    <t>日期</t>
  </si>
  <si>
    <t>姓名</t>
  </si>
  <si>
    <t>村名</t>
  </si>
  <si>
    <t>现金或物品</t>
  </si>
  <si>
    <t>备注</t>
  </si>
  <si>
    <t>捐款收入</t>
  </si>
  <si>
    <t>拍卖收入</t>
  </si>
  <si>
    <t>支出金额</t>
  </si>
  <si>
    <t>结余</t>
  </si>
  <si>
    <t>承上年结余（包含丰顺公帐）</t>
  </si>
  <si>
    <t>2021.01.01</t>
  </si>
  <si>
    <t>黄耀彬</t>
  </si>
  <si>
    <t>“康拜恩”加湿器</t>
  </si>
  <si>
    <t>邱春玲拍得</t>
  </si>
  <si>
    <t>谢洪鑫</t>
  </si>
  <si>
    <t xml:space="preserve">  旅泰华侨</t>
  </si>
  <si>
    <t xml:space="preserve">  泰拳牌青草药膏</t>
  </si>
  <si>
    <t>严瑞民拍得</t>
  </si>
  <si>
    <t>张斌</t>
  </si>
  <si>
    <t>埔上江</t>
  </si>
  <si>
    <t>充电宝暖手宝</t>
  </si>
  <si>
    <t>2021.01.09</t>
  </si>
  <si>
    <t>黄会森</t>
  </si>
  <si>
    <t>鹤坑村</t>
  </si>
  <si>
    <t>超声波加湿器</t>
  </si>
  <si>
    <t>张良鑫拍得</t>
  </si>
  <si>
    <t>张顺康</t>
  </si>
  <si>
    <t>巨星村</t>
  </si>
  <si>
    <t>文山上等田七</t>
  </si>
  <si>
    <t>张运华拍得</t>
  </si>
  <si>
    <t>严丽锋拍得</t>
  </si>
  <si>
    <t>2021.01.10</t>
  </si>
  <si>
    <t>帮扶红星村张喜明困难家庭</t>
  </si>
  <si>
    <t>2021.01.12</t>
  </si>
  <si>
    <t>张秋光</t>
  </si>
  <si>
    <t>现金</t>
  </si>
  <si>
    <t>支出银行短信费</t>
  </si>
  <si>
    <t>2021.01.13</t>
  </si>
  <si>
    <t>支出银行卡（年）费</t>
  </si>
  <si>
    <t>2021.01.15</t>
  </si>
  <si>
    <t>郑微笑</t>
  </si>
  <si>
    <t>河秋江</t>
  </si>
  <si>
    <t>紫砂壶</t>
  </si>
  <si>
    <t>张龙拍得</t>
  </si>
  <si>
    <t>建盏茶杯</t>
  </si>
  <si>
    <t>英德红茶</t>
  </si>
  <si>
    <t>2021.01.19</t>
  </si>
  <si>
    <t>购买打印机套鼓</t>
  </si>
  <si>
    <t>2021.01.22</t>
  </si>
  <si>
    <t>支出公帐银行卡（年）费</t>
  </si>
  <si>
    <t>张昌许</t>
  </si>
  <si>
    <t>海之蓝白酒</t>
  </si>
  <si>
    <t>吕建君拍得</t>
  </si>
  <si>
    <t>云南文山田七</t>
  </si>
  <si>
    <t>张胜德拍得</t>
  </si>
  <si>
    <t>2021.01.25</t>
  </si>
  <si>
    <t>购买油米204份*118元=24072元、牛奶14份*58元=812元，合计：24884元</t>
  </si>
  <si>
    <t>2021.01.27</t>
  </si>
  <si>
    <t>丰顺公帐转入40000元</t>
  </si>
  <si>
    <t>2021.02.25</t>
  </si>
  <si>
    <t>支出工行异地汇款手续费</t>
  </si>
  <si>
    <t>2021.01.29</t>
  </si>
  <si>
    <t>张良鑫</t>
  </si>
  <si>
    <t>红酒</t>
  </si>
  <si>
    <t>严松辉拍得</t>
  </si>
  <si>
    <t>田七</t>
  </si>
  <si>
    <t>罗欢拍得</t>
  </si>
  <si>
    <t>2021.02.03</t>
  </si>
  <si>
    <t>购买得是封40包*2元=80元</t>
  </si>
  <si>
    <t>支出新年慰问活动红包钱</t>
  </si>
  <si>
    <t>2021.02.05</t>
  </si>
  <si>
    <t>帮扶红珠塘严时宁困难家庭（第4、5/20期）</t>
  </si>
  <si>
    <t>帮扶塔下村丘凤珍困难家庭1/4期</t>
  </si>
  <si>
    <t>谢百福</t>
  </si>
  <si>
    <t>宫下埔</t>
  </si>
  <si>
    <t>路易金樽皇庭XO</t>
  </si>
  <si>
    <t>严永华拍得</t>
  </si>
  <si>
    <t>林泽杰拍得</t>
  </si>
  <si>
    <t>2021.02.07</t>
  </si>
  <si>
    <t>购买扫把5把（飞龙岩打扫卫生活动）</t>
  </si>
  <si>
    <t>2021.02.09</t>
  </si>
  <si>
    <t>支出帮扶埔西张惠云困难家庭</t>
  </si>
  <si>
    <t>2021.02.10</t>
  </si>
  <si>
    <t>张裕超</t>
  </si>
  <si>
    <t>中心村</t>
  </si>
  <si>
    <t>2021.02.12</t>
  </si>
  <si>
    <t>2021.02.13</t>
  </si>
  <si>
    <t>张仲文</t>
  </si>
  <si>
    <t>集丰村</t>
  </si>
  <si>
    <t>2021.02.16</t>
  </si>
  <si>
    <t>张燕萍</t>
  </si>
  <si>
    <t>东光村</t>
  </si>
  <si>
    <t>丘广平</t>
  </si>
  <si>
    <t>塔下村</t>
  </si>
  <si>
    <t>张世光张惠玲伉俪</t>
  </si>
  <si>
    <t>邱春玲</t>
  </si>
  <si>
    <t>张炎辉</t>
  </si>
  <si>
    <t>2021.02.19</t>
  </si>
  <si>
    <t>张小超（大声）</t>
  </si>
  <si>
    <t>2021.02.26</t>
  </si>
  <si>
    <t>张锦耀拍得</t>
  </si>
  <si>
    <t>2021.03.05</t>
  </si>
  <si>
    <t>张远良拍得</t>
  </si>
  <si>
    <t>林泽杰</t>
  </si>
  <si>
    <t>张孟秋拍得</t>
  </si>
  <si>
    <t>2021.03.12</t>
  </si>
  <si>
    <t>张淑芳</t>
  </si>
  <si>
    <t>深水村</t>
  </si>
  <si>
    <t>黄红</t>
  </si>
  <si>
    <t>“紫荞印象”苦荞酒</t>
  </si>
  <si>
    <t>2021.03.19</t>
  </si>
  <si>
    <t>2021.03.26</t>
  </si>
  <si>
    <t>张书珍</t>
  </si>
  <si>
    <t>“知足常乐”字画</t>
  </si>
  <si>
    <t>张昌许拍得</t>
  </si>
  <si>
    <t>2021.04.02</t>
  </si>
  <si>
    <t>张昌宝</t>
  </si>
  <si>
    <t>楼下村</t>
  </si>
  <si>
    <t>西凤酒</t>
  </si>
  <si>
    <t>张锡林拍得</t>
  </si>
  <si>
    <t>张裕红拍得</t>
  </si>
  <si>
    <t>2021.04.03</t>
  </si>
  <si>
    <t>谢同辉</t>
  </si>
  <si>
    <t>张一辉</t>
  </si>
  <si>
    <t>2021.04.09</t>
  </si>
  <si>
    <t>张炎辉拍得</t>
  </si>
  <si>
    <t>张宏生拍得</t>
  </si>
  <si>
    <t>2021.04.11</t>
  </si>
  <si>
    <t>支出帮扶埔北阳光村张细娟困难家庭</t>
  </si>
  <si>
    <t>2021.04.12</t>
  </si>
  <si>
    <t>2021.04.16</t>
  </si>
  <si>
    <t>严松辉</t>
  </si>
  <si>
    <t>张一辉拍得</t>
  </si>
  <si>
    <t>张建文拍得</t>
  </si>
  <si>
    <t>2021.04.23</t>
  </si>
  <si>
    <t>张昌旦拍得</t>
  </si>
  <si>
    <t>2021.04.30</t>
  </si>
  <si>
    <t>张爱欣</t>
  </si>
  <si>
    <t>飞天不老酒</t>
  </si>
  <si>
    <t>2021.05.07</t>
  </si>
  <si>
    <t>张自春拍得</t>
  </si>
  <si>
    <t>张崇轩拍得</t>
  </si>
  <si>
    <t>2021.05.12</t>
  </si>
  <si>
    <t>2021.05.14</t>
  </si>
  <si>
    <t>张东廷拍得</t>
  </si>
  <si>
    <t>2021.05.21</t>
  </si>
  <si>
    <t>严永华</t>
  </si>
  <si>
    <t>红朱塘</t>
  </si>
  <si>
    <t>张远辉拍得</t>
  </si>
  <si>
    <t>张崇轩</t>
  </si>
  <si>
    <t>张文才拍得</t>
  </si>
  <si>
    <t>2021.05.28</t>
  </si>
  <si>
    <t>张远良</t>
  </si>
  <si>
    <t>阳光村</t>
  </si>
  <si>
    <t>2021.05.30</t>
  </si>
  <si>
    <t>张细录</t>
  </si>
  <si>
    <t>红星村</t>
  </si>
  <si>
    <t>2021.06.04</t>
  </si>
  <si>
    <t>长城雪茄</t>
  </si>
  <si>
    <t>张文欣拍得</t>
  </si>
  <si>
    <t>2021.06.11</t>
  </si>
  <si>
    <t>黄会森拍得</t>
  </si>
  <si>
    <t>“见贤思齐”字画</t>
  </si>
  <si>
    <t>2021.06.12</t>
  </si>
  <si>
    <t>2021.06.18</t>
  </si>
  <si>
    <t>严义河拍得</t>
  </si>
  <si>
    <t>丘春湘拍得</t>
  </si>
  <si>
    <t>2021.06.25</t>
  </si>
  <si>
    <t>英红九号</t>
  </si>
  <si>
    <t>张会君拍得</t>
  </si>
  <si>
    <t>张胜昌拍得</t>
  </si>
  <si>
    <t>2021.06.26</t>
  </si>
  <si>
    <t>帮扶红珠塘严时宁困难家庭（第6期）</t>
  </si>
  <si>
    <t>2021.07.02</t>
  </si>
  <si>
    <t>严辉炎拍得</t>
  </si>
  <si>
    <t>张议千拍得</t>
  </si>
  <si>
    <t>胡靖</t>
  </si>
  <si>
    <t>汤坑</t>
  </si>
  <si>
    <t>2021.07.09</t>
  </si>
  <si>
    <t>张议千</t>
  </si>
  <si>
    <t>静远园</t>
  </si>
  <si>
    <t>张召辉拍得</t>
  </si>
  <si>
    <t>手持风扇2台</t>
  </si>
  <si>
    <t>张顺康拍得</t>
  </si>
  <si>
    <t>张美静拍得</t>
  </si>
  <si>
    <t>2021.07.12</t>
  </si>
  <si>
    <t>2021.07.16</t>
  </si>
  <si>
    <t>2021.07.23</t>
  </si>
  <si>
    <t>张喜芝拍得</t>
  </si>
  <si>
    <t>张潘滕拍得</t>
  </si>
  <si>
    <t>2021.07.27</t>
  </si>
  <si>
    <t>发放特困户慰问金一共6户,一次发放半年,每户1000元,合计:6000元.</t>
  </si>
  <si>
    <t>2021.07.29</t>
  </si>
  <si>
    <t>帮扶埔东村张进东困难家庭慰问金</t>
  </si>
  <si>
    <t>2021.07.30</t>
  </si>
  <si>
    <t>张敬隆拍得</t>
  </si>
  <si>
    <t>2021.08.01</t>
  </si>
  <si>
    <t>帮扶埔尾下张中波困难家庭慰问金</t>
  </si>
  <si>
    <t>2021.08.06</t>
  </si>
  <si>
    <t>张清宝</t>
  </si>
  <si>
    <t>玉石手把件</t>
  </si>
  <si>
    <t>张仲文拍得</t>
  </si>
  <si>
    <t>2021.08.12</t>
  </si>
  <si>
    <t>2021.08.13</t>
  </si>
  <si>
    <t>2021.08.20</t>
  </si>
  <si>
    <t>2021.08.27</t>
  </si>
  <si>
    <t>张喜红拍得</t>
  </si>
  <si>
    <t>黄同强拍得</t>
  </si>
  <si>
    <t>2021.09.01</t>
  </si>
  <si>
    <t>2021.09.03</t>
  </si>
  <si>
    <t>张斌拍得</t>
  </si>
  <si>
    <t>三足金蟾</t>
  </si>
  <si>
    <t>2021.09.10</t>
  </si>
  <si>
    <t>2021.09.12</t>
  </si>
  <si>
    <t>2021.09.17</t>
  </si>
  <si>
    <t>中秋节慰问敬老院买牛奶、柚</t>
  </si>
  <si>
    <t>张建武</t>
  </si>
  <si>
    <t>龟龄酒</t>
  </si>
  <si>
    <t>2021.09.24</t>
  </si>
  <si>
    <t>2021.10.01</t>
  </si>
  <si>
    <t>张伟其</t>
  </si>
  <si>
    <t>匿名拍得</t>
  </si>
  <si>
    <t>2021.10.06</t>
  </si>
  <si>
    <t>张飞艇</t>
  </si>
  <si>
    <t>2021.10.08</t>
  </si>
  <si>
    <t>张仁钢</t>
  </si>
  <si>
    <t>玉化砗磲吊坠</t>
  </si>
  <si>
    <t>2021.10.12</t>
  </si>
  <si>
    <t>2021.10.15</t>
  </si>
  <si>
    <t>2021.10.22</t>
  </si>
  <si>
    <t>玉化砗磲手串</t>
  </si>
  <si>
    <t>2021.10.24</t>
  </si>
  <si>
    <t>帮扶塔下村丘凤珍困难家庭2/4期</t>
  </si>
  <si>
    <t>2021.10.29</t>
  </si>
  <si>
    <t>玉化砗磲金丝佛珠</t>
  </si>
  <si>
    <t>2021.11.05</t>
  </si>
  <si>
    <t>2021.11.12</t>
  </si>
  <si>
    <t>张金标拍得</t>
  </si>
  <si>
    <t>2021.11.19</t>
  </si>
  <si>
    <t>一级玉石手把件</t>
  </si>
  <si>
    <t>张永超拍得</t>
  </si>
  <si>
    <t>2021.11.22</t>
  </si>
  <si>
    <t>帮扶茅园谢息芝困难家庭慰问金</t>
  </si>
  <si>
    <t>帮扶学枫黄勇涛困难家庭慰问金</t>
  </si>
  <si>
    <t>帮扶海鸥张仁友困难家庭慰问金</t>
  </si>
  <si>
    <t>2021.11.26</t>
  </si>
  <si>
    <t>英红九号白露茶</t>
  </si>
  <si>
    <t>张锦雄拍得</t>
  </si>
  <si>
    <t>2021.12.03</t>
  </si>
  <si>
    <t>2021.12.10</t>
  </si>
  <si>
    <t>东北新鲜人参</t>
  </si>
  <si>
    <t>张锦雄</t>
  </si>
  <si>
    <t>树德堂</t>
  </si>
  <si>
    <t>砂糖桔</t>
  </si>
  <si>
    <t>张清宝拍得</t>
  </si>
  <si>
    <t>2021.12.17</t>
  </si>
  <si>
    <t>谢让彬拍得</t>
  </si>
  <si>
    <t>2021.12.19</t>
  </si>
  <si>
    <t>张同发</t>
  </si>
  <si>
    <t>半岭村</t>
  </si>
  <si>
    <t>2021.12.24</t>
  </si>
  <si>
    <t>张炳祥拍得</t>
  </si>
  <si>
    <t>2021.12.31</t>
  </si>
  <si>
    <t>本年度利息收入</t>
  </si>
  <si>
    <t>承上年结余</t>
  </si>
  <si>
    <t>本年度累计：</t>
  </si>
  <si>
    <t>总计：</t>
  </si>
  <si>
    <t>公益会基金结余（含利息）：</t>
  </si>
  <si>
    <t>保管二位求助者的救助款：</t>
  </si>
  <si>
    <t>理事会基金：</t>
  </si>
  <si>
    <t>公益会基金+理事会基金+保管一位求助者的救助款（合计）：</t>
  </si>
  <si>
    <t>更新到2021年12月31日止</t>
  </si>
  <si>
    <t>财务陈育南保管存款：</t>
  </si>
  <si>
    <t>公益会公帐存款（丰顺工行）：</t>
  </si>
  <si>
    <t>活期</t>
  </si>
  <si>
    <t>陈育南帐户存款（广州工行）：</t>
  </si>
  <si>
    <t>定期</t>
  </si>
  <si>
    <t>以上如有遗漏或错误请联系我  电话/微信：17507536218</t>
  </si>
  <si>
    <t>感谢大家献爱心，公益路上，感恩有您参与！</t>
  </si>
  <si>
    <t xml:space="preserve">        利  息  收  入</t>
  </si>
  <si>
    <t>说明：所有收益将纳入公益会基金。</t>
  </si>
  <si>
    <t>活期利息收入</t>
  </si>
  <si>
    <t>2021.03.21</t>
  </si>
  <si>
    <t>财务帐户</t>
  </si>
  <si>
    <t>第一季度利息收入</t>
  </si>
  <si>
    <t>定期利息收入</t>
  </si>
  <si>
    <t>定期转活期</t>
  </si>
  <si>
    <t>公帐（丰顺工行）</t>
  </si>
  <si>
    <t>自动续存利息</t>
  </si>
  <si>
    <t>2021.06.21</t>
  </si>
  <si>
    <t>第二季度利息收入</t>
  </si>
  <si>
    <t>2021.09.21</t>
  </si>
  <si>
    <t>第三季度利息收入</t>
  </si>
  <si>
    <t>2021.12.21</t>
  </si>
  <si>
    <t>第四季度利息收入</t>
  </si>
  <si>
    <t>活期利息合计：</t>
  </si>
  <si>
    <t>定期利息合计：</t>
  </si>
  <si>
    <t>活 期 定 期 互 转</t>
  </si>
  <si>
    <t>活期定期互转</t>
  </si>
  <si>
    <t>2017.06.12</t>
  </si>
  <si>
    <t>活期转定期</t>
  </si>
  <si>
    <t>年利率1.75%</t>
  </si>
  <si>
    <t>2018.06.12</t>
  </si>
  <si>
    <t>自动转存</t>
  </si>
  <si>
    <t>2018.06.04</t>
  </si>
  <si>
    <t>年利率1.95%</t>
  </si>
  <si>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019.06.04</t>
    </r>
  </si>
  <si>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019.06.12</t>
    </r>
  </si>
  <si>
    <t>至2019.06.12日止，定期合计（包含利息在内）：</t>
  </si>
  <si>
    <t>2020.06.12</t>
  </si>
  <si>
    <t>2020.06.04</t>
  </si>
  <si>
    <t>至2021.11.22日止，定期合计（包含利息在内）：</t>
  </si>
  <si>
    <t>2017年埔寨镇慈善公益会</t>
  </si>
  <si>
    <t>数位求助者善款发放安排：（注：如果中途有特殊情况将会视情况再作安排）</t>
  </si>
  <si>
    <t>序号</t>
  </si>
  <si>
    <t>姓 名</t>
  </si>
  <si>
    <t>善款总数</t>
  </si>
  <si>
    <t>首次发放</t>
  </si>
  <si>
    <t>首次发放日期</t>
  </si>
  <si>
    <t>接下来每月发放</t>
  </si>
  <si>
    <t>总期数</t>
  </si>
  <si>
    <t>备  注</t>
  </si>
  <si>
    <t>谢望胜</t>
  </si>
  <si>
    <t>2016.08.01</t>
  </si>
  <si>
    <t>第二期开始以后每月1号</t>
  </si>
  <si>
    <t>发放完</t>
  </si>
  <si>
    <t>钟敬会</t>
  </si>
  <si>
    <t>2016.01.11</t>
  </si>
  <si>
    <t>张志强</t>
  </si>
  <si>
    <t>2016.03.13</t>
  </si>
  <si>
    <t>第二期（发放4353.00元）开始以后每月1号</t>
  </si>
  <si>
    <t>严细辉（沈幼米）</t>
  </si>
  <si>
    <t>2017.09.20</t>
  </si>
  <si>
    <t>第一、二期15000元，第三期10000，第四期至第八期各8000元。</t>
  </si>
  <si>
    <t>张细迎</t>
  </si>
  <si>
    <t>2018.03.15</t>
  </si>
  <si>
    <t>第二期次月1号发放</t>
  </si>
  <si>
    <t>埔东张凛新</t>
  </si>
  <si>
    <t>2019.02.03</t>
  </si>
  <si>
    <t>第二期已在2019.04.03日发放</t>
  </si>
  <si>
    <t>横坑谢绍正</t>
  </si>
  <si>
    <t>横坑谢永军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</si>
  <si>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019.09.09</t>
    </r>
  </si>
  <si>
    <t>第二次发放6000元,以后理事会讨论发放安排.</t>
  </si>
  <si>
    <t>红珠塘严时宁</t>
  </si>
  <si>
    <t>2020.10.15</t>
  </si>
  <si>
    <t>接下来每月发放1000元</t>
  </si>
  <si>
    <t>塔下丘凤珍</t>
  </si>
  <si>
    <t>分4期发放，每次5000元</t>
  </si>
  <si>
    <t>集丰张政锐</t>
  </si>
  <si>
    <t>2021.12.22</t>
  </si>
  <si>
    <t>等待求助者申请发放</t>
  </si>
  <si>
    <t>塔下丘凤珍善款发放安排</t>
  </si>
  <si>
    <t>红珠塘严细辉（沈幼米）善款发放安排</t>
  </si>
  <si>
    <t>发放日期</t>
  </si>
  <si>
    <r>
      <rPr>
        <b/>
        <sz val="12"/>
        <rFont val="宋体"/>
        <charset val="134"/>
      </rPr>
      <t>一共20000</t>
    </r>
    <r>
      <rPr>
        <b/>
        <sz val="12"/>
        <rFont val="宋体"/>
        <charset val="134"/>
      </rPr>
      <t>元</t>
    </r>
  </si>
  <si>
    <t>当月结存</t>
  </si>
  <si>
    <t xml:space="preserve">第1期 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</si>
  <si>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017.09.20</t>
    </r>
  </si>
  <si>
    <t>第2期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</si>
  <si>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017.11.16</t>
    </r>
  </si>
  <si>
    <t>第3期</t>
  </si>
  <si>
    <t>暂时退回公益会监管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</si>
  <si>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017.11.21</t>
    </r>
  </si>
  <si>
    <t>第4期</t>
  </si>
  <si>
    <t>申请发放</t>
  </si>
  <si>
    <t>2018.05.29</t>
  </si>
  <si>
    <t>2018.09.03</t>
  </si>
  <si>
    <t>集丰村张政锐善款发放安排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</si>
  <si>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019.01.02</t>
    </r>
  </si>
  <si>
    <t>2019.05.19</t>
  </si>
  <si>
    <t>2021.12.13</t>
  </si>
  <si>
    <t>第5期</t>
  </si>
  <si>
    <t>第6期</t>
  </si>
  <si>
    <t>第7期</t>
  </si>
  <si>
    <t>保管2位求助者善款合计</t>
  </si>
  <si>
    <t>红珠塘严细辉（沈幼米）</t>
  </si>
  <si>
    <t>集丰村张政锐</t>
  </si>
  <si>
    <t>保管2位求助者善款合计：</t>
  </si>
  <si>
    <t>2017—2021年埔寨镇公益会丰顺工行（公帐）收支明细</t>
  </si>
  <si>
    <t>项目</t>
  </si>
  <si>
    <t>收入</t>
  </si>
  <si>
    <t>支出</t>
  </si>
  <si>
    <t>结存金额</t>
  </si>
  <si>
    <t>2017.01.01</t>
  </si>
  <si>
    <t>2016年结存</t>
  </si>
  <si>
    <t>2017.01.10</t>
  </si>
  <si>
    <t>对公收费</t>
  </si>
  <si>
    <t>2017.01.19</t>
  </si>
  <si>
    <t>对公工行证书收费</t>
  </si>
  <si>
    <t>2017.02.10</t>
  </si>
  <si>
    <t>2017.03.10</t>
  </si>
  <si>
    <t>2017.03.21</t>
  </si>
  <si>
    <t>利息收入</t>
  </si>
  <si>
    <t>2017.04.10</t>
  </si>
  <si>
    <t>2017.05.10</t>
  </si>
  <si>
    <t>2017.06.10</t>
  </si>
  <si>
    <t>2017.06.21</t>
  </si>
  <si>
    <t>2017.07.10</t>
  </si>
  <si>
    <t>2017.08.10</t>
  </si>
  <si>
    <t>2017.09.10</t>
  </si>
  <si>
    <t>2017.09.21</t>
  </si>
  <si>
    <t>2017.10.10</t>
  </si>
  <si>
    <t>2017.11.10</t>
  </si>
  <si>
    <t>2017.12.10</t>
  </si>
  <si>
    <t>2017.12.21</t>
  </si>
  <si>
    <t>2018.01.02</t>
  </si>
  <si>
    <t>2018.03.21</t>
  </si>
  <si>
    <t>2018.06.21</t>
  </si>
  <si>
    <t>2018.08.01</t>
  </si>
  <si>
    <t>镇政府捐款</t>
  </si>
  <si>
    <t>2018.09.21</t>
  </si>
  <si>
    <t>2018.12.21</t>
  </si>
  <si>
    <t>2019.01.28</t>
  </si>
  <si>
    <t>民政局捐款</t>
  </si>
  <si>
    <t>2019.03.21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</si>
  <si>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019.06.21</t>
    </r>
  </si>
  <si>
    <t>2019.06.28</t>
  </si>
  <si>
    <t>U盾年费支出</t>
  </si>
  <si>
    <t>2019.09.21</t>
  </si>
  <si>
    <t>2019.12.21</t>
  </si>
  <si>
    <t>2020.03.21</t>
  </si>
  <si>
    <t>2020.06.21</t>
  </si>
  <si>
    <t>2020.09.21</t>
  </si>
  <si>
    <t>2020.12.21</t>
  </si>
  <si>
    <t>转出到财务帐户</t>
  </si>
  <si>
    <t>工行异地汇款手续费</t>
  </si>
  <si>
    <t>埔寨镇公益会(理事会基金）收支明细</t>
  </si>
  <si>
    <t xml:space="preserve">   收费标准：理事会成员每人100元（接近用完再筹）</t>
  </si>
  <si>
    <t>收  入</t>
  </si>
  <si>
    <t>支   出</t>
  </si>
  <si>
    <t>日  期</t>
  </si>
  <si>
    <t>姓  名</t>
  </si>
  <si>
    <t>金额</t>
  </si>
  <si>
    <t>开支说明</t>
  </si>
  <si>
    <t>经手人</t>
  </si>
  <si>
    <t>2016.11.28</t>
  </si>
  <si>
    <t>2017.02.24</t>
  </si>
  <si>
    <t>对深水张双方求助，到梅县黄塘落实情况交通费</t>
  </si>
  <si>
    <t>张会波</t>
  </si>
  <si>
    <t>2018.02.09</t>
  </si>
  <si>
    <t>严利锋的外婆“仙逝”礼金和花圈</t>
  </si>
  <si>
    <t>严利锋</t>
  </si>
  <si>
    <t>2018.03.11</t>
  </si>
  <si>
    <t>严瑞民的奶奶“仙逝”礼金和花圈</t>
  </si>
  <si>
    <t>严瑞民</t>
  </si>
  <si>
    <t>陈育南</t>
  </si>
  <si>
    <t>谢小军的父亲“仙逝”礼金和花圈</t>
  </si>
  <si>
    <t>谢小军</t>
  </si>
  <si>
    <t>谢晓东</t>
  </si>
  <si>
    <t>2018.04.10</t>
  </si>
  <si>
    <t>对枧桥村谢和春求助，到梅县黄塘落实情况交通费</t>
  </si>
  <si>
    <t>2018.04.11</t>
  </si>
  <si>
    <t>郑微笑的奶奶“仙逝”礼金和花圈</t>
  </si>
  <si>
    <t>张业丰</t>
  </si>
  <si>
    <t>2018.08.18</t>
  </si>
  <si>
    <t>张世光的父亲“仙逝”礼金和花圈</t>
  </si>
  <si>
    <t>张世光</t>
  </si>
  <si>
    <t>2018.10.28</t>
  </si>
  <si>
    <t>谢利帮“稻田町料理学院”开业贺花篮2个</t>
  </si>
  <si>
    <t>谢利帮</t>
  </si>
  <si>
    <t>2019.04.11</t>
  </si>
  <si>
    <t>张许民的父亲“仙逝”礼金和花圈</t>
  </si>
  <si>
    <t>张许民</t>
  </si>
  <si>
    <t>谢海峰</t>
  </si>
  <si>
    <t>2019.05.04</t>
  </si>
  <si>
    <t>张斌的父亲“仙逝”礼金和花圈</t>
  </si>
  <si>
    <t>张胜昌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</si>
  <si>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019.08.12</t>
    </r>
  </si>
  <si>
    <t>张召辉的父亲“仙逝”礼金和花圈</t>
  </si>
  <si>
    <t>张召辉</t>
  </si>
  <si>
    <t>谢天一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</si>
  <si>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019.11.09</t>
    </r>
  </si>
  <si>
    <t>张建周的奶奶"完坟"买纸炮2盒</t>
  </si>
  <si>
    <t>张职仲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</si>
  <si>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019.12.09</t>
    </r>
  </si>
  <si>
    <t>张锦雄的外父“仙逝”礼金和花圈</t>
  </si>
  <si>
    <t>张伟江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</si>
  <si>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020.01.13</t>
    </r>
  </si>
  <si>
    <t>谢天一外母“仙逝”礼金和花圈</t>
  </si>
  <si>
    <t>张建周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</si>
  <si>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020.04.04</t>
    </r>
  </si>
  <si>
    <t>谢利帮的父亲“仙逝”礼金和花圈</t>
  </si>
  <si>
    <t>谢利民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</si>
  <si>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020.04.26</t>
    </r>
  </si>
  <si>
    <t>黄红的奶奶“仙逝”礼金和花圈</t>
  </si>
  <si>
    <t>严丽锋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</si>
  <si>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020.11.25</t>
    </r>
  </si>
  <si>
    <t>黄会森的父亲“仙逝”礼金和花圈</t>
  </si>
  <si>
    <t>张永君</t>
  </si>
  <si>
    <t>严丽锋的母亲“仙逝”礼金和花圈</t>
  </si>
  <si>
    <t>谢让彬</t>
  </si>
  <si>
    <t>2021.02.01</t>
  </si>
  <si>
    <t>张昌彪的母亲“仙逝”礼金和花圈</t>
  </si>
  <si>
    <t>张昌彪</t>
  </si>
  <si>
    <t>张海帆</t>
  </si>
  <si>
    <t>2021.03.23</t>
  </si>
  <si>
    <t>张文欣的奶奶“仙逝”礼金和花圈</t>
  </si>
  <si>
    <t>张文欣</t>
  </si>
  <si>
    <t>2021.11.30</t>
  </si>
  <si>
    <t>张许民的奶奶“仙逝”礼金和花圈</t>
  </si>
  <si>
    <t>黄  红</t>
  </si>
  <si>
    <t>张喜强</t>
  </si>
  <si>
    <t>吕绍雄</t>
  </si>
  <si>
    <t>黄会良</t>
  </si>
  <si>
    <t>张镇周</t>
  </si>
  <si>
    <t>邱海瑞</t>
  </si>
  <si>
    <t>张昌旦</t>
  </si>
  <si>
    <t>张德宁</t>
  </si>
  <si>
    <t>张继超</t>
  </si>
  <si>
    <t>张名雄</t>
  </si>
  <si>
    <t>张  斌</t>
  </si>
  <si>
    <t>张小辉</t>
  </si>
  <si>
    <t>2016.11.29</t>
  </si>
  <si>
    <t>张会君</t>
  </si>
  <si>
    <t>张惠玲</t>
  </si>
  <si>
    <t>张潘滕</t>
  </si>
  <si>
    <t>2017.02.27</t>
  </si>
  <si>
    <t>张贵群</t>
  </si>
  <si>
    <t>2017.02.28</t>
  </si>
  <si>
    <t>2018.02.13</t>
  </si>
  <si>
    <t>新办公室购买设备剩余7084元</t>
  </si>
  <si>
    <t>收入总计：</t>
  </si>
  <si>
    <t>（详见本表格右边）支出总计：</t>
  </si>
  <si>
    <t>理事会基金结余：</t>
  </si>
  <si>
    <t>以上如有遗漏或错误请联系我  手机/微信：17507536218</t>
  </si>
  <si>
    <t>2021年特困户慰问金发放登记</t>
  </si>
  <si>
    <t>身份证号码</t>
  </si>
  <si>
    <t>联系电话</t>
  </si>
  <si>
    <t>审核通过</t>
  </si>
  <si>
    <t>2021年上半年</t>
  </si>
  <si>
    <r>
      <rPr>
        <b/>
        <sz val="14"/>
        <color rgb="FFFF0000"/>
        <rFont val="宋体"/>
        <charset val="134"/>
      </rPr>
      <t>2021</t>
    </r>
    <r>
      <rPr>
        <b/>
        <sz val="14"/>
        <color rgb="FFFF0000"/>
        <rFont val="宋体"/>
        <charset val="134"/>
      </rPr>
      <t>年下半年</t>
    </r>
  </si>
  <si>
    <t>本人或亲属</t>
  </si>
  <si>
    <t>发放金额</t>
  </si>
  <si>
    <t>采芝</t>
  </si>
  <si>
    <t>谢和平</t>
  </si>
  <si>
    <t>441423194202013019</t>
  </si>
  <si>
    <t>2019.03.28</t>
  </si>
  <si>
    <t>2021.01.28</t>
  </si>
  <si>
    <t>埔北</t>
  </si>
  <si>
    <t>张勃绪.远二</t>
  </si>
  <si>
    <t>11412319480804301X</t>
  </si>
  <si>
    <t>2019.08.15</t>
  </si>
  <si>
    <t>半岭</t>
  </si>
  <si>
    <t>张划发.上寨</t>
  </si>
  <si>
    <t>441423193505206411</t>
  </si>
  <si>
    <t>2019.07.12</t>
  </si>
  <si>
    <t>张义新.寨肚</t>
  </si>
  <si>
    <t>441423195501026412</t>
  </si>
  <si>
    <t>埔南</t>
  </si>
  <si>
    <t>张自味.中心</t>
  </si>
  <si>
    <t>441423195508186058</t>
  </si>
  <si>
    <t>2019.08.10</t>
  </si>
  <si>
    <t>学枫</t>
  </si>
  <si>
    <t>黄和磅.枫下</t>
  </si>
  <si>
    <t>44142319500203301X</t>
  </si>
  <si>
    <t>2019.07.14</t>
  </si>
  <si>
    <t>去外地住（暂停）</t>
  </si>
  <si>
    <t>万安</t>
  </si>
  <si>
    <t>严礼等.油草洋</t>
  </si>
  <si>
    <t>441423194902043016</t>
  </si>
  <si>
    <t>2019.07.15</t>
  </si>
  <si>
    <t>合计金额</t>
  </si>
  <si>
    <t>2020年特困户慰问金发放登记</t>
  </si>
  <si>
    <t>2020年上半年</t>
  </si>
  <si>
    <r>
      <rPr>
        <b/>
        <sz val="14"/>
        <color rgb="FFFF0000"/>
        <rFont val="宋体"/>
        <charset val="134"/>
      </rPr>
      <t>2020</t>
    </r>
    <r>
      <rPr>
        <b/>
        <sz val="14"/>
        <color rgb="FFFF0000"/>
        <rFont val="宋体"/>
        <charset val="134"/>
      </rPr>
      <t>年下半年</t>
    </r>
  </si>
  <si>
    <t>2020.01.20</t>
  </si>
  <si>
    <t>2020.08.09</t>
  </si>
  <si>
    <t>谢元享</t>
  </si>
  <si>
    <t>441423193909133052</t>
  </si>
  <si>
    <t>2019.03.30</t>
  </si>
  <si>
    <t>张爱勤.埔尾下</t>
  </si>
  <si>
    <t>441423196708043038</t>
  </si>
  <si>
    <t>2019.04.19</t>
  </si>
  <si>
    <t>2020.04.25</t>
  </si>
  <si>
    <t>已仙逝</t>
  </si>
  <si>
    <t>张存时.埔东</t>
  </si>
  <si>
    <t>441423194311143015</t>
  </si>
  <si>
    <t>2020.08.26仙逝</t>
  </si>
  <si>
    <t>张红发.集丰</t>
  </si>
  <si>
    <t>441423194001043035</t>
  </si>
  <si>
    <t>2020.04.14</t>
  </si>
  <si>
    <t>2021埔寨镇公益会捐款捐物和参与拍卖排名</t>
  </si>
  <si>
    <t>排名</t>
  </si>
  <si>
    <t>捐款</t>
  </si>
  <si>
    <t>捐物</t>
  </si>
  <si>
    <t>参与拍卖</t>
  </si>
  <si>
    <t>合计</t>
  </si>
  <si>
    <t>张运华</t>
  </si>
  <si>
    <t>张龙</t>
  </si>
  <si>
    <t>吕建君</t>
  </si>
  <si>
    <t>张胜德</t>
  </si>
  <si>
    <t>罗欢</t>
  </si>
  <si>
    <t>张锦耀</t>
  </si>
  <si>
    <t>张孟秋</t>
  </si>
  <si>
    <t>张锡林</t>
  </si>
  <si>
    <t>张裕红</t>
  </si>
  <si>
    <t>张宏生</t>
  </si>
  <si>
    <t>张建文</t>
  </si>
  <si>
    <t>张自春</t>
  </si>
  <si>
    <t>张东廷</t>
  </si>
  <si>
    <t>张远辉</t>
  </si>
  <si>
    <t>张文才</t>
  </si>
  <si>
    <t>严义河</t>
  </si>
  <si>
    <t>丘春湘</t>
  </si>
  <si>
    <t>严辉炎</t>
  </si>
  <si>
    <t>张美静</t>
  </si>
  <si>
    <t>张喜芝</t>
  </si>
  <si>
    <t>张敬隆</t>
  </si>
  <si>
    <t>张喜红</t>
  </si>
  <si>
    <t>黄同强</t>
  </si>
  <si>
    <t>匿名</t>
  </si>
  <si>
    <t>张金标</t>
  </si>
  <si>
    <t>张永超</t>
  </si>
  <si>
    <t>张炳祥</t>
  </si>
  <si>
    <t>捐款合计</t>
  </si>
  <si>
    <t>捐物合计</t>
  </si>
  <si>
    <t>参与拍卖合计</t>
  </si>
  <si>
    <t>捐款和拍卖合计</t>
  </si>
  <si>
    <t>以上如有遗漏，请联系我：微信：17507536218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</si>
</sst>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70">
    <font>
      <sz val="11"/>
      <name val="宋体"/>
      <charset val="134"/>
    </font>
    <font>
      <b/>
      <sz val="20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FF0000"/>
      <name val="宋体"/>
      <charset val="134"/>
    </font>
    <font>
      <b/>
      <sz val="14"/>
      <color rgb="FFFF0000"/>
      <name val="宋体"/>
      <charset val="134"/>
    </font>
    <font>
      <b/>
      <sz val="16"/>
      <name val="宋体"/>
      <charset val="134"/>
    </font>
    <font>
      <sz val="14"/>
      <color rgb="FF000000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6"/>
      <color rgb="FF000000"/>
      <name val="宋体"/>
      <charset val="134"/>
    </font>
    <font>
      <b/>
      <sz val="16"/>
      <color rgb="FF000000"/>
      <name val="宋体"/>
      <charset val="134"/>
    </font>
    <font>
      <b/>
      <sz val="22"/>
      <color rgb="FFFF0000"/>
      <name val="宋体"/>
      <charset val="134"/>
    </font>
    <font>
      <b/>
      <sz val="16"/>
      <color rgb="FFFF0000"/>
      <name val="宋体"/>
      <charset val="134"/>
    </font>
    <font>
      <b/>
      <sz val="12"/>
      <color indexed="10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5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b/>
      <sz val="20"/>
      <color indexed="10"/>
      <name val="宋体"/>
      <charset val="134"/>
    </font>
    <font>
      <b/>
      <sz val="18"/>
      <color rgb="FFFF0000"/>
      <name val="宋体"/>
      <charset val="134"/>
    </font>
    <font>
      <b/>
      <sz val="14"/>
      <color rgb="FF002060"/>
      <name val="宋体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i/>
      <sz val="16"/>
      <color rgb="FFFF0000"/>
      <name val="宋体"/>
      <charset val="134"/>
    </font>
    <font>
      <b/>
      <sz val="26"/>
      <color rgb="FFFF0000"/>
      <name val="宋体"/>
      <charset val="134"/>
    </font>
    <font>
      <sz val="12"/>
      <color theme="1"/>
      <name val="宋体"/>
      <charset val="134"/>
    </font>
    <font>
      <sz val="11"/>
      <color indexed="10"/>
      <name val="宋体"/>
      <charset val="134"/>
    </font>
    <font>
      <sz val="16"/>
      <name val="宋体"/>
      <charset val="134"/>
    </font>
    <font>
      <b/>
      <sz val="22"/>
      <color indexed="10"/>
      <name val="宋体"/>
      <charset val="134"/>
    </font>
    <font>
      <b/>
      <i/>
      <sz val="16"/>
      <color rgb="FF000000"/>
      <name val="宋体"/>
      <charset val="134"/>
    </font>
    <font>
      <b/>
      <sz val="26"/>
      <name val="宋体"/>
      <charset val="134"/>
    </font>
    <font>
      <b/>
      <sz val="12"/>
      <color rgb="FF180399"/>
      <name val="宋体"/>
      <charset val="134"/>
    </font>
    <font>
      <b/>
      <sz val="14"/>
      <color rgb="FF0000FF"/>
      <name val="宋体"/>
      <charset val="134"/>
    </font>
    <font>
      <b/>
      <sz val="12"/>
      <color rgb="FF0000FF"/>
      <name val="宋体"/>
      <charset val="134"/>
    </font>
    <font>
      <b/>
      <sz val="24"/>
      <name val="宋体"/>
      <charset val="134"/>
    </font>
    <font>
      <b/>
      <sz val="18"/>
      <name val="宋体"/>
      <charset val="134"/>
    </font>
    <font>
      <b/>
      <sz val="15"/>
      <name val="宋体"/>
      <charset val="134"/>
    </font>
    <font>
      <b/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i/>
      <sz val="14"/>
      <color rgb="FFFF0000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/>
      <top style="medium">
        <color rgb="FFFF0000"/>
      </top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0" fillId="0" borderId="0" applyFont="0" applyFill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88" applyNumberFormat="0" applyAlignment="0" applyProtection="0">
      <alignment vertical="center"/>
    </xf>
    <xf numFmtId="44" fontId="50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0" fillId="32" borderId="89" applyNumberFormat="0" applyFont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90" applyNumberFormat="0" applyFill="0" applyAlignment="0" applyProtection="0">
      <alignment vertical="center"/>
    </xf>
    <xf numFmtId="0" fontId="62" fillId="0" borderId="90" applyNumberFormat="0" applyFill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7" fillId="0" borderId="91" applyNumberFormat="0" applyFill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63" fillId="36" borderId="92" applyNumberFormat="0" applyAlignment="0" applyProtection="0">
      <alignment vertical="center"/>
    </xf>
    <xf numFmtId="0" fontId="64" fillId="36" borderId="88" applyNumberFormat="0" applyAlignment="0" applyProtection="0">
      <alignment vertical="center"/>
    </xf>
    <xf numFmtId="0" fontId="65" fillId="37" borderId="93" applyNumberFormat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66" fillId="0" borderId="94" applyNumberFormat="0" applyFill="0" applyAlignment="0" applyProtection="0">
      <alignment vertical="center"/>
    </xf>
    <xf numFmtId="0" fontId="67" fillId="0" borderId="95" applyNumberFormat="0" applyFill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3" fillId="0" borderId="0">
      <protection locked="0"/>
    </xf>
    <xf numFmtId="0" fontId="7" fillId="0" borderId="0">
      <protection locked="0"/>
    </xf>
  </cellStyleXfs>
  <cellXfs count="6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50" applyFont="1" applyBorder="1" applyAlignment="1" applyProtection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50" applyFont="1" applyBorder="1" applyAlignment="1" applyProtection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0" fontId="0" fillId="0" borderId="2" xfId="0" applyBorder="1">
      <alignment vertical="center"/>
    </xf>
    <xf numFmtId="0" fontId="3" fillId="2" borderId="1" xfId="50" applyFont="1" applyFill="1" applyBorder="1" applyAlignment="1" applyProtection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176" fontId="9" fillId="3" borderId="15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176" fontId="11" fillId="4" borderId="21" xfId="0" applyNumberFormat="1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4" borderId="2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11" fillId="0" borderId="34" xfId="0" applyNumberFormat="1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176" fontId="11" fillId="4" borderId="37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49" fontId="11" fillId="0" borderId="38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49" fontId="11" fillId="0" borderId="39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176" fontId="11" fillId="4" borderId="41" xfId="0" applyNumberFormat="1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176" fontId="11" fillId="4" borderId="45" xfId="0" applyNumberFormat="1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176" fontId="11" fillId="5" borderId="45" xfId="0" applyNumberFormat="1" applyFont="1" applyFill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176" fontId="11" fillId="5" borderId="37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176" fontId="11" fillId="5" borderId="31" xfId="0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176" fontId="13" fillId="5" borderId="31" xfId="0" applyNumberFormat="1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76" fontId="15" fillId="0" borderId="48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49" fontId="16" fillId="0" borderId="18" xfId="0" applyNumberFormat="1" applyFont="1" applyBorder="1" applyAlignment="1">
      <alignment horizontal="center" vertical="center"/>
    </xf>
    <xf numFmtId="49" fontId="16" fillId="0" borderId="19" xfId="0" applyNumberFormat="1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176" fontId="16" fillId="4" borderId="21" xfId="0" applyNumberFormat="1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49" fontId="16" fillId="0" borderId="24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176" fontId="16" fillId="4" borderId="49" xfId="0" applyNumberFormat="1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40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176" fontId="16" fillId="4" borderId="2" xfId="0" applyNumberFormat="1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176" fontId="16" fillId="4" borderId="31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49" fontId="16" fillId="0" borderId="49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176" fontId="16" fillId="4" borderId="45" xfId="0" applyNumberFormat="1" applyFont="1" applyFill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176" fontId="16" fillId="4" borderId="37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4" borderId="51" xfId="0" applyFont="1" applyFill="1" applyBorder="1" applyAlignment="1">
      <alignment horizontal="center" vertical="center"/>
    </xf>
    <xf numFmtId="176" fontId="16" fillId="4" borderId="52" xfId="0" applyNumberFormat="1" applyFont="1" applyFill="1" applyBorder="1" applyAlignment="1">
      <alignment horizontal="center" vertical="center"/>
    </xf>
    <xf numFmtId="49" fontId="16" fillId="0" borderId="38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49" fontId="16" fillId="0" borderId="39" xfId="0" applyNumberFormat="1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176" fontId="16" fillId="4" borderId="41" xfId="0" applyNumberFormat="1" applyFont="1" applyFill="1" applyBorder="1" applyAlignment="1">
      <alignment horizontal="center" vertical="center"/>
    </xf>
    <xf numFmtId="176" fontId="16" fillId="4" borderId="50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176" fontId="16" fillId="4" borderId="53" xfId="0" applyNumberFormat="1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176" fontId="16" fillId="6" borderId="45" xfId="0" applyNumberFormat="1" applyFont="1" applyFill="1" applyBorder="1" applyAlignment="1">
      <alignment horizontal="center" vertical="center"/>
    </xf>
    <xf numFmtId="0" fontId="16" fillId="6" borderId="36" xfId="0" applyFont="1" applyFill="1" applyBorder="1" applyAlignment="1">
      <alignment horizontal="center" vertical="center"/>
    </xf>
    <xf numFmtId="176" fontId="16" fillId="6" borderId="37" xfId="0" applyNumberFormat="1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center"/>
    </xf>
    <xf numFmtId="176" fontId="16" fillId="6" borderId="31" xfId="0" applyNumberFormat="1" applyFont="1" applyFill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176" fontId="17" fillId="0" borderId="48" xfId="0" applyNumberFormat="1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76" fontId="7" fillId="0" borderId="0" xfId="0" applyNumberFormat="1" applyFont="1" applyBorder="1">
      <alignment vertical="center"/>
    </xf>
    <xf numFmtId="0" fontId="14" fillId="0" borderId="0" xfId="0" applyFont="1" applyBorder="1" applyAlignment="1">
      <alignment vertical="center"/>
    </xf>
    <xf numFmtId="176" fontId="9" fillId="3" borderId="54" xfId="0" applyNumberFormat="1" applyFont="1" applyFill="1" applyBorder="1" applyAlignment="1">
      <alignment horizontal="center" vertical="center"/>
    </xf>
    <xf numFmtId="176" fontId="11" fillId="4" borderId="31" xfId="0" applyNumberFormat="1" applyFont="1" applyFill="1" applyBorder="1" applyAlignment="1">
      <alignment horizontal="center" vertical="center"/>
    </xf>
    <xf numFmtId="176" fontId="11" fillId="4" borderId="55" xfId="0" applyNumberFormat="1" applyFont="1" applyFill="1" applyBorder="1" applyAlignment="1">
      <alignment horizontal="center" vertical="center"/>
    </xf>
    <xf numFmtId="176" fontId="11" fillId="4" borderId="54" xfId="0" applyNumberFormat="1" applyFont="1" applyFill="1" applyBorder="1" applyAlignment="1">
      <alignment horizontal="center" vertical="center"/>
    </xf>
    <xf numFmtId="176" fontId="11" fillId="4" borderId="53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176" fontId="13" fillId="4" borderId="31" xfId="0" applyNumberFormat="1" applyFont="1" applyFill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176" fontId="9" fillId="3" borderId="21" xfId="0" applyNumberFormat="1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176" fontId="16" fillId="4" borderId="58" xfId="0" applyNumberFormat="1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176" fontId="10" fillId="4" borderId="31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>
      <alignment vertical="center"/>
    </xf>
    <xf numFmtId="0" fontId="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9" fillId="0" borderId="33" xfId="0" applyFont="1" applyBorder="1">
      <alignment vertical="center"/>
    </xf>
    <xf numFmtId="0" fontId="17" fillId="0" borderId="1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20" fillId="7" borderId="26" xfId="49" applyFont="1" applyFill="1" applyBorder="1" applyAlignment="1" applyProtection="1">
      <alignment horizontal="center" vertical="center"/>
    </xf>
    <xf numFmtId="49" fontId="20" fillId="7" borderId="1" xfId="49" applyNumberFormat="1" applyFont="1" applyFill="1" applyBorder="1" applyAlignment="1" applyProtection="1">
      <alignment horizontal="center" vertical="center"/>
    </xf>
    <xf numFmtId="0" fontId="20" fillId="7" borderId="1" xfId="49" applyFont="1" applyFill="1" applyBorder="1" applyAlignment="1" applyProtection="1">
      <alignment horizontal="center" vertical="center"/>
    </xf>
    <xf numFmtId="176" fontId="20" fillId="7" borderId="45" xfId="49" applyNumberFormat="1" applyFont="1" applyFill="1" applyBorder="1" applyAlignment="1" applyProtection="1">
      <alignment horizontal="center" vertical="center"/>
    </xf>
    <xf numFmtId="0" fontId="20" fillId="7" borderId="26" xfId="49" applyNumberFormat="1" applyFont="1" applyFill="1" applyBorder="1" applyAlignment="1" applyProtection="1">
      <alignment horizontal="center" vertical="center"/>
    </xf>
    <xf numFmtId="49" fontId="20" fillId="3" borderId="1" xfId="49" applyNumberFormat="1" applyFont="1" applyFill="1" applyBorder="1" applyAlignment="1" applyProtection="1">
      <alignment horizontal="center" vertical="center"/>
    </xf>
    <xf numFmtId="0" fontId="21" fillId="3" borderId="49" xfId="0" applyFon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3" fillId="8" borderId="45" xfId="0" applyNumberFormat="1" applyFont="1" applyFill="1" applyBorder="1" applyAlignment="1">
      <alignment horizontal="center" vertical="center"/>
    </xf>
    <xf numFmtId="0" fontId="13" fillId="0" borderId="26" xfId="0" applyNumberFormat="1" applyFont="1" applyBorder="1" applyAlignment="1">
      <alignment horizontal="center" vertical="center"/>
    </xf>
    <xf numFmtId="176" fontId="13" fillId="0" borderId="1" xfId="0" applyNumberFormat="1" applyFont="1" applyBorder="1">
      <alignment vertical="center"/>
    </xf>
    <xf numFmtId="0" fontId="3" fillId="8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76" fontId="3" fillId="8" borderId="1" xfId="0" applyNumberFormat="1" applyFont="1" applyFill="1" applyBorder="1">
      <alignment vertical="center"/>
    </xf>
    <xf numFmtId="176" fontId="13" fillId="0" borderId="45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0" fillId="8" borderId="26" xfId="49" applyNumberFormat="1" applyFont="1" applyFill="1" applyBorder="1" applyAlignment="1" applyProtection="1">
      <alignment horizontal="center" vertical="center"/>
    </xf>
    <xf numFmtId="49" fontId="20" fillId="8" borderId="1" xfId="49" applyNumberFormat="1" applyFont="1" applyFill="1" applyBorder="1" applyAlignment="1" applyProtection="1">
      <alignment horizontal="center" vertical="center"/>
    </xf>
    <xf numFmtId="0" fontId="21" fillId="8" borderId="49" xfId="0" applyFont="1" applyFill="1" applyBorder="1" applyAlignment="1">
      <alignment horizontal="center" vertical="center"/>
    </xf>
    <xf numFmtId="176" fontId="21" fillId="8" borderId="1" xfId="0" applyNumberFormat="1" applyFont="1" applyFill="1" applyBorder="1" applyAlignment="1">
      <alignment horizontal="center" vertical="center"/>
    </xf>
    <xf numFmtId="0" fontId="13" fillId="8" borderId="26" xfId="0" applyNumberFormat="1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176" fontId="22" fillId="8" borderId="1" xfId="0" applyNumberFormat="1" applyFont="1" applyFill="1" applyBorder="1">
      <alignment vertical="center"/>
    </xf>
    <xf numFmtId="0" fontId="13" fillId="8" borderId="1" xfId="0" applyFont="1" applyFill="1" applyBorder="1" applyAlignment="1">
      <alignment horizontal="center" vertical="center"/>
    </xf>
    <xf numFmtId="176" fontId="13" fillId="8" borderId="1" xfId="0" applyNumberFormat="1" applyFont="1" applyFill="1" applyBorder="1">
      <alignment vertical="center"/>
    </xf>
    <xf numFmtId="0" fontId="13" fillId="9" borderId="26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right" vertical="center"/>
    </xf>
    <xf numFmtId="176" fontId="15" fillId="9" borderId="45" xfId="0" applyNumberFormat="1" applyFont="1" applyFill="1" applyBorder="1" applyAlignment="1">
      <alignment horizontal="center" vertical="center"/>
    </xf>
    <xf numFmtId="0" fontId="13" fillId="9" borderId="26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176" fontId="13" fillId="9" borderId="1" xfId="0" applyNumberFormat="1" applyFont="1" applyFill="1" applyBorder="1">
      <alignment vertical="center"/>
    </xf>
    <xf numFmtId="0" fontId="20" fillId="9" borderId="49" xfId="0" applyFont="1" applyFill="1" applyBorder="1" applyAlignment="1">
      <alignment horizontal="right" vertical="center"/>
    </xf>
    <xf numFmtId="0" fontId="20" fillId="9" borderId="63" xfId="0" applyFont="1" applyFill="1" applyBorder="1" applyAlignment="1">
      <alignment horizontal="right" vertical="center"/>
    </xf>
    <xf numFmtId="176" fontId="15" fillId="9" borderId="1" xfId="0" applyNumberFormat="1" applyFont="1" applyFill="1" applyBorder="1">
      <alignment vertical="center"/>
    </xf>
    <xf numFmtId="0" fontId="23" fillId="10" borderId="64" xfId="0" applyFont="1" applyFill="1" applyBorder="1" applyAlignment="1">
      <alignment horizontal="right" vertical="center" wrapText="1"/>
    </xf>
    <xf numFmtId="0" fontId="23" fillId="10" borderId="39" xfId="0" applyFont="1" applyFill="1" applyBorder="1" applyAlignment="1">
      <alignment horizontal="right" vertical="center" wrapText="1"/>
    </xf>
    <xf numFmtId="0" fontId="23" fillId="10" borderId="65" xfId="0" applyFont="1" applyFill="1" applyBorder="1" applyAlignment="1">
      <alignment horizontal="right" vertical="center" wrapText="1"/>
    </xf>
    <xf numFmtId="176" fontId="24" fillId="10" borderId="37" xfId="0" applyNumberFormat="1" applyFont="1" applyFill="1" applyBorder="1" applyAlignment="1">
      <alignment horizontal="center" vertical="center"/>
    </xf>
    <xf numFmtId="0" fontId="7" fillId="10" borderId="36" xfId="0" applyNumberFormat="1" applyFont="1" applyFill="1" applyBorder="1" applyAlignment="1">
      <alignment horizontal="center" vertical="center"/>
    </xf>
    <xf numFmtId="0" fontId="7" fillId="10" borderId="40" xfId="0" applyNumberFormat="1" applyFont="1" applyFill="1" applyBorder="1" applyAlignment="1">
      <alignment horizontal="center" vertical="center"/>
    </xf>
    <xf numFmtId="0" fontId="7" fillId="10" borderId="40" xfId="0" applyFont="1" applyFill="1" applyBorder="1" applyAlignment="1">
      <alignment horizontal="center" vertical="center"/>
    </xf>
    <xf numFmtId="176" fontId="7" fillId="10" borderId="40" xfId="0" applyNumberFormat="1" applyFont="1" applyFill="1" applyBorder="1">
      <alignment vertical="center"/>
    </xf>
    <xf numFmtId="0" fontId="20" fillId="3" borderId="45" xfId="49" applyFont="1" applyFill="1" applyBorder="1" applyAlignment="1" applyProtection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3" fillId="8" borderId="45" xfId="0" applyFont="1" applyFill="1" applyBorder="1" applyAlignment="1">
      <alignment horizontal="center" vertical="center"/>
    </xf>
    <xf numFmtId="0" fontId="20" fillId="8" borderId="45" xfId="49" applyFont="1" applyFill="1" applyBorder="1" applyAlignment="1" applyProtection="1">
      <alignment horizontal="center" vertical="center"/>
    </xf>
    <xf numFmtId="0" fontId="22" fillId="8" borderId="45" xfId="0" applyFont="1" applyFill="1" applyBorder="1" applyAlignment="1">
      <alignment horizontal="center" vertical="center"/>
    </xf>
    <xf numFmtId="0" fontId="13" fillId="8" borderId="45" xfId="0" applyFont="1" applyFill="1" applyBorder="1" applyAlignment="1">
      <alignment horizontal="center" vertical="center"/>
    </xf>
    <xf numFmtId="0" fontId="13" fillId="9" borderId="45" xfId="0" applyFont="1" applyFill="1" applyBorder="1" applyAlignment="1">
      <alignment horizontal="center" vertical="center"/>
    </xf>
    <xf numFmtId="0" fontId="7" fillId="10" borderId="3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21" fillId="3" borderId="18" xfId="50" applyFont="1" applyFill="1" applyBorder="1" applyAlignment="1" applyProtection="1">
      <alignment horizontal="center" vertical="center"/>
    </xf>
    <xf numFmtId="0" fontId="21" fillId="3" borderId="19" xfId="50" applyFont="1" applyFill="1" applyBorder="1" applyAlignment="1" applyProtection="1">
      <alignment horizontal="center" vertical="center"/>
    </xf>
    <xf numFmtId="0" fontId="21" fillId="3" borderId="19" xfId="50" applyFont="1" applyFill="1" applyBorder="1" applyAlignment="1" applyProtection="1">
      <alignment horizontal="center" vertical="center" wrapText="1"/>
    </xf>
    <xf numFmtId="0" fontId="21" fillId="3" borderId="66" xfId="50" applyFont="1" applyFill="1" applyBorder="1" applyAlignment="1" applyProtection="1">
      <alignment horizontal="center" vertical="center" wrapText="1"/>
    </xf>
    <xf numFmtId="0" fontId="21" fillId="3" borderId="31" xfId="50" applyFont="1" applyFill="1" applyBorder="1" applyAlignment="1" applyProtection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3" fillId="8" borderId="63" xfId="50" applyFont="1" applyFill="1" applyBorder="1" applyAlignment="1" applyProtection="1">
      <alignment horizontal="center" vertical="center"/>
    </xf>
    <xf numFmtId="0" fontId="3" fillId="8" borderId="1" xfId="50" applyFont="1" applyFill="1" applyBorder="1" applyAlignment="1" applyProtection="1">
      <alignment horizontal="center" vertical="center" wrapText="1"/>
    </xf>
    <xf numFmtId="176" fontId="3" fillId="8" borderId="1" xfId="50" applyNumberFormat="1" applyFont="1" applyFill="1" applyBorder="1" applyAlignment="1" applyProtection="1">
      <alignment horizontal="center" vertical="center" wrapText="1"/>
    </xf>
    <xf numFmtId="176" fontId="3" fillId="8" borderId="45" xfId="50" applyNumberFormat="1" applyFont="1" applyFill="1" applyBorder="1" applyAlignment="1" applyProtection="1">
      <alignment horizontal="center" vertical="center" wrapText="1"/>
    </xf>
    <xf numFmtId="0" fontId="3" fillId="8" borderId="49" xfId="50" applyFont="1" applyFill="1" applyBorder="1" applyAlignment="1" applyProtection="1">
      <alignment horizontal="center" vertical="center" wrapText="1"/>
    </xf>
    <xf numFmtId="0" fontId="3" fillId="8" borderId="38" xfId="50" applyFont="1" applyFill="1" applyBorder="1" applyAlignment="1" applyProtection="1">
      <alignment horizontal="center" vertical="center"/>
    </xf>
    <xf numFmtId="176" fontId="7" fillId="8" borderId="1" xfId="0" applyNumberFormat="1" applyFont="1" applyFill="1" applyBorder="1">
      <alignment vertical="center"/>
    </xf>
    <xf numFmtId="0" fontId="7" fillId="0" borderId="63" xfId="0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13" fillId="0" borderId="6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26" fillId="0" borderId="4" xfId="50" applyFont="1" applyBorder="1" applyAlignment="1" applyProtection="1">
      <alignment horizontal="center" vertical="center"/>
    </xf>
    <xf numFmtId="0" fontId="8" fillId="0" borderId="6" xfId="50" applyFont="1" applyBorder="1" applyAlignment="1" applyProtection="1">
      <alignment horizontal="center" vertical="center"/>
    </xf>
    <xf numFmtId="0" fontId="8" fillId="0" borderId="67" xfId="50" applyFont="1" applyBorder="1" applyAlignment="1" applyProtection="1">
      <alignment horizontal="center" vertical="center"/>
    </xf>
    <xf numFmtId="0" fontId="8" fillId="0" borderId="0" xfId="50" applyFont="1" applyBorder="1" applyAlignment="1" applyProtection="1">
      <alignment horizontal="center" vertical="center"/>
    </xf>
    <xf numFmtId="0" fontId="27" fillId="0" borderId="0" xfId="50" applyFont="1" applyBorder="1" applyAlignment="1" applyProtection="1">
      <alignment horizontal="center" vertical="center"/>
    </xf>
    <xf numFmtId="0" fontId="21" fillId="0" borderId="0" xfId="50" applyFont="1" applyBorder="1" applyAlignment="1" applyProtection="1">
      <alignment vertical="center"/>
    </xf>
    <xf numFmtId="49" fontId="28" fillId="0" borderId="0" xfId="50" applyNumberFormat="1" applyFont="1" applyBorder="1" applyAlignment="1" applyProtection="1">
      <alignment horizontal="center" vertical="center"/>
    </xf>
    <xf numFmtId="0" fontId="7" fillId="0" borderId="0" xfId="50" applyBorder="1" applyAlignment="1" applyProtection="1">
      <alignment horizontal="center" vertical="center"/>
    </xf>
    <xf numFmtId="0" fontId="29" fillId="11" borderId="17" xfId="50" applyFont="1" applyFill="1" applyBorder="1" applyAlignment="1" applyProtection="1">
      <alignment horizontal="center" vertical="center"/>
    </xf>
    <xf numFmtId="49" fontId="21" fillId="11" borderId="19" xfId="50" applyNumberFormat="1" applyFont="1" applyFill="1" applyBorder="1" applyAlignment="1" applyProtection="1">
      <alignment horizontal="center" vertical="center"/>
    </xf>
    <xf numFmtId="0" fontId="21" fillId="11" borderId="19" xfId="50" applyFont="1" applyFill="1" applyBorder="1" applyAlignment="1" applyProtection="1">
      <alignment horizontal="center" vertical="center"/>
    </xf>
    <xf numFmtId="0" fontId="21" fillId="11" borderId="19" xfId="50" applyFont="1" applyFill="1" applyBorder="1" applyAlignment="1" applyProtection="1">
      <alignment horizontal="center" vertical="center" wrapText="1"/>
    </xf>
    <xf numFmtId="0" fontId="21" fillId="11" borderId="50" xfId="50" applyFont="1" applyFill="1" applyBorder="1" applyAlignment="1" applyProtection="1">
      <alignment horizontal="center" vertical="center"/>
    </xf>
    <xf numFmtId="0" fontId="7" fillId="0" borderId="26" xfId="50" applyBorder="1" applyAlignment="1" applyProtection="1">
      <alignment horizontal="center" vertical="center"/>
    </xf>
    <xf numFmtId="49" fontId="0" fillId="0" borderId="1" xfId="50" applyNumberFormat="1" applyFont="1" applyBorder="1" applyAlignment="1" applyProtection="1">
      <alignment horizontal="center" vertical="center"/>
    </xf>
    <xf numFmtId="176" fontId="0" fillId="0" borderId="1" xfId="50" applyNumberFormat="1" applyFont="1" applyBorder="1" applyAlignment="1" applyProtection="1">
      <alignment horizontal="center" vertical="center"/>
    </xf>
    <xf numFmtId="0" fontId="0" fillId="0" borderId="49" xfId="50" applyFont="1" applyBorder="1" applyAlignment="1" applyProtection="1">
      <alignment horizontal="center" vertical="center"/>
    </xf>
    <xf numFmtId="0" fontId="0" fillId="0" borderId="1" xfId="50" applyFont="1" applyBorder="1" applyAlignment="1" applyProtection="1">
      <alignment horizontal="left" vertical="center"/>
    </xf>
    <xf numFmtId="49" fontId="3" fillId="8" borderId="1" xfId="50" applyNumberFormat="1" applyFont="1" applyFill="1" applyBorder="1" applyAlignment="1" applyProtection="1">
      <alignment horizontal="center" vertical="center" wrapText="1"/>
    </xf>
    <xf numFmtId="176" fontId="7" fillId="0" borderId="1" xfId="50" applyNumberFormat="1" applyFont="1" applyBorder="1" applyAlignment="1" applyProtection="1">
      <alignment horizontal="center" vertical="center"/>
    </xf>
    <xf numFmtId="176" fontId="7" fillId="0" borderId="1" xfId="50" applyNumberFormat="1" applyFont="1" applyBorder="1" applyAlignment="1" applyProtection="1">
      <alignment horizontal="left" vertical="center"/>
    </xf>
    <xf numFmtId="0" fontId="7" fillId="0" borderId="49" xfId="50" applyFont="1" applyBorder="1" applyAlignment="1" applyProtection="1">
      <alignment horizontal="center" vertical="center"/>
    </xf>
    <xf numFmtId="49" fontId="3" fillId="8" borderId="49" xfId="50" applyNumberFormat="1" applyFont="1" applyFill="1" applyBorder="1" applyAlignment="1" applyProtection="1">
      <alignment horizontal="left" vertical="center" wrapText="1"/>
    </xf>
    <xf numFmtId="0" fontId="7" fillId="0" borderId="1" xfId="50" applyFont="1" applyBorder="1" applyAlignment="1" applyProtection="1">
      <alignment horizontal="center" vertical="center"/>
    </xf>
    <xf numFmtId="0" fontId="7" fillId="0" borderId="1" xfId="50" applyFont="1" applyBorder="1" applyAlignment="1" applyProtection="1">
      <alignment horizontal="left" vertical="center"/>
    </xf>
    <xf numFmtId="176" fontId="7" fillId="0" borderId="1" xfId="50" applyNumberFormat="1" applyFont="1" applyBorder="1" applyAlignment="1" applyProtection="1">
      <alignment vertical="center"/>
    </xf>
    <xf numFmtId="0" fontId="7" fillId="0" borderId="49" xfId="50" applyFont="1" applyBorder="1" applyAlignment="1" applyProtection="1">
      <alignment horizontal="left" vertical="center"/>
    </xf>
    <xf numFmtId="0" fontId="7" fillId="0" borderId="36" xfId="50" applyBorder="1" applyAlignment="1" applyProtection="1">
      <alignment horizontal="center" vertical="center"/>
    </xf>
    <xf numFmtId="0" fontId="7" fillId="0" borderId="40" xfId="50" applyFont="1" applyBorder="1" applyAlignment="1" applyProtection="1">
      <alignment horizontal="center" vertical="center"/>
    </xf>
    <xf numFmtId="176" fontId="7" fillId="0" borderId="40" xfId="50" applyNumberFormat="1" applyFont="1" applyBorder="1" applyAlignment="1" applyProtection="1">
      <alignment vertical="center"/>
    </xf>
    <xf numFmtId="176" fontId="7" fillId="0" borderId="40" xfId="50" applyNumberFormat="1" applyFont="1" applyBorder="1" applyAlignment="1" applyProtection="1">
      <alignment horizontal="center" vertical="center"/>
    </xf>
    <xf numFmtId="0" fontId="7" fillId="0" borderId="41" xfId="50" applyFont="1" applyBorder="1" applyAlignment="1" applyProtection="1">
      <alignment horizontal="left" vertical="center"/>
    </xf>
    <xf numFmtId="0" fontId="7" fillId="0" borderId="0" xfId="50" applyFont="1" applyBorder="1" applyAlignment="1" applyProtection="1">
      <alignment horizontal="center" vertical="center"/>
    </xf>
    <xf numFmtId="176" fontId="7" fillId="0" borderId="0" xfId="50" applyNumberFormat="1" applyFont="1" applyBorder="1" applyAlignment="1" applyProtection="1">
      <alignment vertical="center"/>
    </xf>
    <xf numFmtId="176" fontId="7" fillId="0" borderId="0" xfId="50" applyNumberFormat="1" applyFont="1" applyBorder="1" applyAlignment="1" applyProtection="1">
      <alignment horizontal="center" vertical="center"/>
    </xf>
    <xf numFmtId="176" fontId="7" fillId="2" borderId="0" xfId="50" applyNumberFormat="1" applyFont="1" applyFill="1" applyBorder="1" applyAlignment="1" applyProtection="1">
      <alignment vertical="center"/>
    </xf>
    <xf numFmtId="0" fontId="7" fillId="0" borderId="0" xfId="50" applyFont="1" applyBorder="1" applyAlignment="1" applyProtection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2" borderId="0" xfId="0" applyFill="1" applyBorder="1">
      <alignment vertical="center"/>
    </xf>
    <xf numFmtId="176" fontId="17" fillId="0" borderId="0" xfId="0" applyNumberFormat="1" applyFont="1" applyAlignment="1">
      <alignment vertical="center"/>
    </xf>
    <xf numFmtId="0" fontId="15" fillId="12" borderId="17" xfId="0" applyFont="1" applyFill="1" applyBorder="1" applyAlignment="1">
      <alignment horizontal="center" vertical="center"/>
    </xf>
    <xf numFmtId="49" fontId="30" fillId="12" borderId="19" xfId="0" applyNumberFormat="1" applyFont="1" applyFill="1" applyBorder="1" applyAlignment="1">
      <alignment horizontal="center" vertical="center"/>
    </xf>
    <xf numFmtId="0" fontId="30" fillId="12" borderId="19" xfId="0" applyFont="1" applyFill="1" applyBorder="1" applyAlignment="1">
      <alignment horizontal="center" vertical="center"/>
    </xf>
    <xf numFmtId="0" fontId="30" fillId="12" borderId="31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15" fillId="12" borderId="44" xfId="0" applyFont="1" applyFill="1" applyBorder="1" applyAlignment="1">
      <alignment horizontal="center" vertical="center"/>
    </xf>
    <xf numFmtId="176" fontId="10" fillId="12" borderId="19" xfId="0" applyNumberFormat="1" applyFont="1" applyFill="1" applyBorder="1" applyAlignment="1">
      <alignment horizontal="center" vertical="center"/>
    </xf>
    <xf numFmtId="49" fontId="0" fillId="3" borderId="26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45" xfId="0" applyNumberFormat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49" fontId="0" fillId="0" borderId="68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2" borderId="26" xfId="0" applyNumberFormat="1" applyFont="1" applyFill="1" applyBorder="1" applyAlignment="1">
      <alignment horizontal="center" vertical="center"/>
    </xf>
    <xf numFmtId="49" fontId="29" fillId="0" borderId="68" xfId="0" applyNumberFormat="1" applyFont="1" applyFill="1" applyBorder="1" applyAlignment="1">
      <alignment horizontal="center" vertical="center"/>
    </xf>
    <xf numFmtId="49" fontId="0" fillId="2" borderId="36" xfId="0" applyNumberFormat="1" applyFont="1" applyFill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176" fontId="32" fillId="0" borderId="10" xfId="50" applyNumberFormat="1" applyFont="1" applyBorder="1" applyAlignment="1" applyProtection="1">
      <alignment horizontal="center" vertical="center"/>
    </xf>
    <xf numFmtId="176" fontId="32" fillId="0" borderId="8" xfId="50" applyNumberFormat="1" applyFont="1" applyBorder="1" applyAlignment="1" applyProtection="1">
      <alignment horizontal="center" vertical="center"/>
    </xf>
    <xf numFmtId="176" fontId="32" fillId="0" borderId="9" xfId="50" applyNumberFormat="1" applyFont="1" applyBorder="1" applyAlignment="1" applyProtection="1">
      <alignment horizontal="center" vertical="center"/>
    </xf>
    <xf numFmtId="176" fontId="32" fillId="2" borderId="0" xfId="50" applyNumberFormat="1" applyFont="1" applyFill="1" applyBorder="1" applyAlignment="1" applyProtection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0" fontId="15" fillId="13" borderId="17" xfId="0" applyFont="1" applyFill="1" applyBorder="1" applyAlignment="1">
      <alignment horizontal="center" vertical="center"/>
    </xf>
    <xf numFmtId="49" fontId="30" fillId="13" borderId="19" xfId="0" applyNumberFormat="1" applyFont="1" applyFill="1" applyBorder="1" applyAlignment="1">
      <alignment horizontal="center" vertical="center"/>
    </xf>
    <xf numFmtId="176" fontId="24" fillId="13" borderId="19" xfId="50" applyNumberFormat="1" applyFont="1" applyFill="1" applyBorder="1" applyAlignment="1" applyProtection="1">
      <alignment vertical="center"/>
    </xf>
    <xf numFmtId="0" fontId="30" fillId="13" borderId="31" xfId="0" applyFont="1" applyFill="1" applyBorder="1" applyAlignment="1">
      <alignment horizontal="center" vertical="center"/>
    </xf>
    <xf numFmtId="43" fontId="13" fillId="2" borderId="0" xfId="0" applyNumberFormat="1" applyFont="1" applyFill="1" applyBorder="1" applyAlignment="1">
      <alignment horizontal="left" vertical="center"/>
    </xf>
    <xf numFmtId="49" fontId="31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2" borderId="0" xfId="0" applyNumberFormat="1" applyFont="1" applyFill="1" applyBorder="1" applyAlignment="1">
      <alignment vertical="center"/>
    </xf>
    <xf numFmtId="0" fontId="7" fillId="0" borderId="26" xfId="50" applyFont="1" applyBorder="1" applyAlignment="1" applyProtection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0" borderId="36" xfId="50" applyFont="1" applyBorder="1" applyAlignment="1" applyProtection="1">
      <alignment horizontal="left" vertical="center"/>
    </xf>
    <xf numFmtId="0" fontId="9" fillId="0" borderId="40" xfId="0" applyFont="1" applyBorder="1" applyAlignment="1">
      <alignment horizontal="center" vertical="center"/>
    </xf>
    <xf numFmtId="0" fontId="13" fillId="0" borderId="0" xfId="50" applyFont="1" applyBorder="1" applyAlignment="1" applyProtection="1">
      <alignment vertical="center"/>
    </xf>
    <xf numFmtId="176" fontId="15" fillId="0" borderId="0" xfId="0" applyNumberFormat="1" applyFont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>
      <alignment vertical="center"/>
    </xf>
    <xf numFmtId="176" fontId="13" fillId="0" borderId="37" xfId="0" applyNumberFormat="1" applyFont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176" fontId="32" fillId="2" borderId="0" xfId="50" applyNumberFormat="1" applyFont="1" applyFill="1" applyBorder="1" applyAlignment="1" applyProtection="1">
      <alignment vertical="center"/>
    </xf>
    <xf numFmtId="176" fontId="34" fillId="2" borderId="68" xfId="50" applyNumberFormat="1" applyFont="1" applyFill="1" applyBorder="1" applyAlignment="1" applyProtection="1">
      <alignment horizontal="center" vertical="center"/>
    </xf>
    <xf numFmtId="176" fontId="34" fillId="2" borderId="38" xfId="50" applyNumberFormat="1" applyFont="1" applyFill="1" applyBorder="1" applyAlignment="1" applyProtection="1">
      <alignment horizontal="center" vertical="center"/>
    </xf>
    <xf numFmtId="49" fontId="34" fillId="2" borderId="68" xfId="0" applyNumberFormat="1" applyFont="1" applyFill="1" applyBorder="1" applyAlignment="1">
      <alignment horizontal="center" vertical="center"/>
    </xf>
    <xf numFmtId="49" fontId="34" fillId="2" borderId="38" xfId="0" applyNumberFormat="1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176" fontId="0" fillId="0" borderId="0" xfId="0" applyNumberFormat="1" applyFont="1">
      <alignment vertical="center"/>
    </xf>
    <xf numFmtId="0" fontId="33" fillId="0" borderId="0" xfId="0" applyFont="1" applyBorder="1" applyAlignment="1">
      <alignment horizontal="center" vertical="center"/>
    </xf>
    <xf numFmtId="176" fontId="33" fillId="0" borderId="0" xfId="0" applyNumberFormat="1" applyFont="1" applyBorder="1" applyAlignment="1">
      <alignment horizontal="center" vertical="center"/>
    </xf>
    <xf numFmtId="0" fontId="7" fillId="11" borderId="31" xfId="0" applyFont="1" applyFill="1" applyBorder="1">
      <alignment vertical="center"/>
    </xf>
    <xf numFmtId="0" fontId="9" fillId="0" borderId="45" xfId="0" applyFont="1" applyBorder="1" applyAlignment="1">
      <alignment horizontal="center" vertical="center"/>
    </xf>
    <xf numFmtId="49" fontId="3" fillId="8" borderId="38" xfId="50" applyNumberFormat="1" applyFont="1" applyFill="1" applyBorder="1" applyAlignment="1" applyProtection="1">
      <alignment horizontal="left" vertical="center" wrapText="1"/>
    </xf>
    <xf numFmtId="49" fontId="3" fillId="8" borderId="63" xfId="50" applyNumberFormat="1" applyFont="1" applyFill="1" applyBorder="1" applyAlignment="1" applyProtection="1">
      <alignment horizontal="left" vertical="center" wrapText="1"/>
    </xf>
    <xf numFmtId="0" fontId="7" fillId="0" borderId="38" xfId="50" applyFont="1" applyBorder="1" applyAlignment="1" applyProtection="1">
      <alignment horizontal="left" vertical="center"/>
    </xf>
    <xf numFmtId="0" fontId="7" fillId="0" borderId="63" xfId="50" applyFont="1" applyBorder="1" applyAlignment="1" applyProtection="1">
      <alignment horizontal="left" vertical="center"/>
    </xf>
    <xf numFmtId="0" fontId="7" fillId="0" borderId="39" xfId="50" applyFont="1" applyBorder="1" applyAlignment="1" applyProtection="1">
      <alignment horizontal="left" vertical="center"/>
    </xf>
    <xf numFmtId="0" fontId="7" fillId="0" borderId="65" xfId="50" applyFont="1" applyBorder="1" applyAlignment="1" applyProtection="1">
      <alignment horizontal="left" vertical="center"/>
    </xf>
    <xf numFmtId="0" fontId="9" fillId="0" borderId="3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12" borderId="19" xfId="0" applyNumberFormat="1" applyFont="1" applyFill="1" applyBorder="1" applyAlignment="1">
      <alignment horizontal="center" vertical="center"/>
    </xf>
    <xf numFmtId="176" fontId="10" fillId="12" borderId="3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45" xfId="0" applyNumberFormat="1" applyFont="1" applyFill="1" applyBorder="1" applyAlignment="1">
      <alignment horizontal="center" vertical="center"/>
    </xf>
    <xf numFmtId="49" fontId="29" fillId="0" borderId="63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37" xfId="0" applyNumberFormat="1" applyFont="1" applyFill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0" xfId="0" applyFont="1">
      <alignment vertical="center"/>
    </xf>
    <xf numFmtId="0" fontId="19" fillId="2" borderId="31" xfId="0" applyFont="1" applyFill="1" applyBorder="1" applyAlignment="1">
      <alignment horizontal="center" vertical="center"/>
    </xf>
    <xf numFmtId="176" fontId="34" fillId="2" borderId="63" xfId="50" applyNumberFormat="1" applyFont="1" applyFill="1" applyBorder="1" applyAlignment="1" applyProtection="1">
      <alignment horizontal="center" vertical="center"/>
    </xf>
    <xf numFmtId="176" fontId="0" fillId="0" borderId="45" xfId="0" applyNumberFormat="1" applyBorder="1">
      <alignment vertical="center"/>
    </xf>
    <xf numFmtId="49" fontId="34" fillId="2" borderId="63" xfId="0" applyNumberFormat="1" applyFont="1" applyFill="1" applyBorder="1" applyAlignment="1">
      <alignment horizontal="center" vertical="center"/>
    </xf>
    <xf numFmtId="176" fontId="3" fillId="2" borderId="45" xfId="0" applyNumberFormat="1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37" fillId="0" borderId="4" xfId="50" applyFont="1" applyBorder="1" applyAlignment="1" applyProtection="1">
      <alignment horizontal="center" vertical="center"/>
    </xf>
    <xf numFmtId="0" fontId="37" fillId="0" borderId="6" xfId="50" applyFont="1" applyBorder="1" applyAlignment="1" applyProtection="1">
      <alignment horizontal="center" vertical="center"/>
    </xf>
    <xf numFmtId="0" fontId="37" fillId="0" borderId="67" xfId="50" applyFont="1" applyBorder="1" applyAlignment="1" applyProtection="1">
      <alignment horizontal="center" vertical="center"/>
    </xf>
    <xf numFmtId="0" fontId="37" fillId="0" borderId="0" xfId="50" applyFont="1" applyBorder="1" applyAlignment="1" applyProtection="1">
      <alignment horizontal="center" vertical="center"/>
    </xf>
    <xf numFmtId="0" fontId="16" fillId="2" borderId="67" xfId="50" applyFont="1" applyFill="1" applyBorder="1" applyAlignment="1" applyProtection="1">
      <alignment horizontal="center" vertical="center"/>
    </xf>
    <xf numFmtId="0" fontId="24" fillId="0" borderId="0" xfId="50" applyFont="1" applyBorder="1" applyAlignment="1" applyProtection="1">
      <alignment horizontal="left" vertical="center"/>
    </xf>
    <xf numFmtId="0" fontId="38" fillId="0" borderId="33" xfId="50" applyFont="1" applyBorder="1" applyAlignment="1" applyProtection="1">
      <alignment horizontal="left" vertical="center"/>
    </xf>
    <xf numFmtId="0" fontId="21" fillId="3" borderId="17" xfId="50" applyFont="1" applyFill="1" applyBorder="1" applyAlignment="1" applyProtection="1">
      <alignment horizontal="center" vertical="center"/>
    </xf>
    <xf numFmtId="49" fontId="21" fillId="3" borderId="19" xfId="49" applyNumberFormat="1" applyFont="1" applyFill="1" applyBorder="1" applyAlignment="1" applyProtection="1">
      <alignment horizontal="center" vertical="center"/>
    </xf>
    <xf numFmtId="176" fontId="21" fillId="3" borderId="19" xfId="50" applyNumberFormat="1" applyFont="1" applyFill="1" applyBorder="1" applyAlignment="1" applyProtection="1">
      <alignment horizontal="center" vertical="center"/>
    </xf>
    <xf numFmtId="0" fontId="21" fillId="2" borderId="23" xfId="50" applyFont="1" applyFill="1" applyBorder="1" applyAlignment="1" applyProtection="1">
      <alignment horizontal="center" vertical="center"/>
    </xf>
    <xf numFmtId="0" fontId="9" fillId="2" borderId="49" xfId="50" applyFont="1" applyFill="1" applyBorder="1" applyAlignment="1" applyProtection="1">
      <alignment horizontal="center" vertical="center"/>
    </xf>
    <xf numFmtId="0" fontId="9" fillId="2" borderId="38" xfId="50" applyFont="1" applyFill="1" applyBorder="1" applyAlignment="1" applyProtection="1">
      <alignment horizontal="center" vertical="center"/>
    </xf>
    <xf numFmtId="0" fontId="9" fillId="2" borderId="63" xfId="50" applyFont="1" applyFill="1" applyBorder="1" applyAlignment="1" applyProtection="1">
      <alignment horizontal="center" vertical="center"/>
    </xf>
    <xf numFmtId="0" fontId="21" fillId="2" borderId="51" xfId="50" applyFont="1" applyFill="1" applyBorder="1" applyAlignment="1" applyProtection="1">
      <alignment horizontal="center" vertical="center"/>
    </xf>
    <xf numFmtId="176" fontId="21" fillId="2" borderId="51" xfId="50" applyNumberFormat="1" applyFont="1" applyFill="1" applyBorder="1" applyAlignment="1" applyProtection="1">
      <alignment horizontal="center" vertical="center"/>
    </xf>
    <xf numFmtId="0" fontId="13" fillId="3" borderId="26" xfId="50" applyFont="1" applyFill="1" applyBorder="1" applyAlignment="1" applyProtection="1">
      <alignment horizontal="center" vertical="center"/>
    </xf>
    <xf numFmtId="176" fontId="3" fillId="0" borderId="1" xfId="50" applyNumberFormat="1" applyFont="1" applyBorder="1" applyAlignment="1" applyProtection="1">
      <alignment horizontal="center" vertical="center"/>
    </xf>
    <xf numFmtId="176" fontId="3" fillId="0" borderId="1" xfId="50" applyNumberFormat="1" applyFont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30" fillId="0" borderId="49" xfId="50" applyFont="1" applyBorder="1" applyAlignment="1" applyProtection="1">
      <alignment horizontal="center" vertical="center"/>
    </xf>
    <xf numFmtId="0" fontId="30" fillId="0" borderId="38" xfId="50" applyFont="1" applyBorder="1" applyAlignment="1" applyProtection="1">
      <alignment horizontal="center" vertical="center"/>
    </xf>
    <xf numFmtId="0" fontId="30" fillId="0" borderId="63" xfId="50" applyFont="1" applyBorder="1" applyAlignment="1" applyProtection="1">
      <alignment horizontal="center" vertical="center"/>
    </xf>
    <xf numFmtId="176" fontId="3" fillId="8" borderId="1" xfId="50" applyNumberFormat="1" applyFont="1" applyFill="1" applyBorder="1" applyAlignment="1" applyProtection="1">
      <alignment horizontal="center" vertical="center"/>
    </xf>
    <xf numFmtId="0" fontId="3" fillId="0" borderId="49" xfId="50" applyFont="1" applyBorder="1" applyAlignment="1" applyProtection="1">
      <alignment horizontal="center" vertical="center"/>
    </xf>
    <xf numFmtId="0" fontId="3" fillId="0" borderId="38" xfId="50" applyFont="1" applyBorder="1" applyAlignment="1" applyProtection="1">
      <alignment horizontal="center" vertical="center"/>
    </xf>
    <xf numFmtId="0" fontId="3" fillId="0" borderId="63" xfId="50" applyFont="1" applyBorder="1" applyAlignment="1" applyProtection="1">
      <alignment horizontal="center" vertical="center"/>
    </xf>
    <xf numFmtId="0" fontId="30" fillId="0" borderId="49" xfId="50" applyFont="1" applyBorder="1" applyAlignment="1" applyProtection="1">
      <alignment horizontal="center" vertical="center" wrapText="1"/>
    </xf>
    <xf numFmtId="0" fontId="30" fillId="0" borderId="38" xfId="50" applyFont="1" applyBorder="1" applyAlignment="1" applyProtection="1">
      <alignment horizontal="center" vertical="center" wrapText="1"/>
    </xf>
    <xf numFmtId="0" fontId="30" fillId="0" borderId="63" xfId="50" applyFont="1" applyBorder="1" applyAlignment="1" applyProtection="1">
      <alignment horizontal="center" vertical="center" wrapText="1"/>
    </xf>
    <xf numFmtId="0" fontId="15" fillId="0" borderId="49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30" fillId="2" borderId="49" xfId="50" applyFont="1" applyFill="1" applyBorder="1" applyAlignment="1" applyProtection="1">
      <alignment horizontal="center" vertical="center"/>
    </xf>
    <xf numFmtId="0" fontId="30" fillId="2" borderId="38" xfId="50" applyFont="1" applyFill="1" applyBorder="1" applyAlignment="1" applyProtection="1">
      <alignment horizontal="center" vertical="center"/>
    </xf>
    <xf numFmtId="0" fontId="30" fillId="2" borderId="63" xfId="50" applyFont="1" applyFill="1" applyBorder="1" applyAlignment="1" applyProtection="1">
      <alignment horizontal="center" vertical="center"/>
    </xf>
    <xf numFmtId="0" fontId="3" fillId="2" borderId="1" xfId="50" applyFont="1" applyFill="1" applyBorder="1" applyAlignment="1" applyProtection="1">
      <alignment horizontal="center" vertical="center"/>
    </xf>
    <xf numFmtId="0" fontId="38" fillId="0" borderId="33" xfId="50" applyFont="1" applyBorder="1" applyAlignment="1" applyProtection="1">
      <alignment vertical="center"/>
    </xf>
    <xf numFmtId="176" fontId="21" fillId="3" borderId="50" xfId="50" applyNumberFormat="1" applyFont="1" applyFill="1" applyBorder="1" applyAlignment="1" applyProtection="1">
      <alignment horizontal="center" vertical="center"/>
    </xf>
    <xf numFmtId="176" fontId="21" fillId="3" borderId="31" xfId="50" applyNumberFormat="1" applyFont="1" applyFill="1" applyBorder="1" applyAlignment="1" applyProtection="1">
      <alignment horizontal="center" vertical="center"/>
    </xf>
    <xf numFmtId="176" fontId="30" fillId="2" borderId="52" xfId="50" applyNumberFormat="1" applyFont="1" applyFill="1" applyBorder="1" applyAlignment="1" applyProtection="1">
      <alignment horizontal="center" vertical="center"/>
    </xf>
    <xf numFmtId="176" fontId="30" fillId="2" borderId="45" xfId="50" applyNumberFormat="1" applyFont="1" applyFill="1" applyBorder="1" applyAlignment="1" applyProtection="1">
      <alignment horizontal="center" vertical="center"/>
    </xf>
    <xf numFmtId="176" fontId="3" fillId="0" borderId="49" xfId="50" applyNumberFormat="1" applyFont="1" applyBorder="1" applyAlignment="1" applyProtection="1">
      <alignment horizontal="center" vertical="center" wrapText="1"/>
    </xf>
    <xf numFmtId="176" fontId="3" fillId="0" borderId="49" xfId="50" applyNumberFormat="1" applyFont="1" applyBorder="1" applyAlignment="1" applyProtection="1">
      <alignment horizontal="center" vertical="center"/>
    </xf>
    <xf numFmtId="176" fontId="3" fillId="8" borderId="49" xfId="50" applyNumberFormat="1" applyFont="1" applyFill="1" applyBorder="1" applyAlignment="1" applyProtection="1">
      <alignment horizontal="center" vertical="center"/>
    </xf>
    <xf numFmtId="0" fontId="39" fillId="14" borderId="10" xfId="50" applyFont="1" applyFill="1" applyBorder="1" applyAlignment="1" applyProtection="1">
      <alignment vertical="center"/>
    </xf>
    <xf numFmtId="0" fontId="39" fillId="14" borderId="9" xfId="50" applyFont="1" applyFill="1" applyBorder="1" applyAlignment="1" applyProtection="1">
      <alignment vertical="center"/>
    </xf>
    <xf numFmtId="0" fontId="40" fillId="14" borderId="10" xfId="0" applyFont="1" applyFill="1" applyBorder="1" applyAlignment="1">
      <alignment vertical="center" wrapText="1"/>
    </xf>
    <xf numFmtId="0" fontId="40" fillId="14" borderId="47" xfId="0" applyFont="1" applyFill="1" applyBorder="1" applyAlignment="1">
      <alignment vertical="center" wrapText="1"/>
    </xf>
    <xf numFmtId="0" fontId="41" fillId="14" borderId="47" xfId="0" applyFont="1" applyFill="1" applyBorder="1" applyAlignment="1">
      <alignment horizontal="center" vertical="center" wrapText="1"/>
    </xf>
    <xf numFmtId="0" fontId="42" fillId="14" borderId="48" xfId="50" applyFont="1" applyFill="1" applyBorder="1" applyAlignment="1" applyProtection="1">
      <alignment horizontal="center" vertical="center"/>
    </xf>
    <xf numFmtId="176" fontId="42" fillId="14" borderId="47" xfId="50" applyNumberFormat="1" applyFont="1" applyFill="1" applyBorder="1" applyAlignment="1" applyProtection="1">
      <alignment horizontal="center" vertical="center"/>
    </xf>
    <xf numFmtId="0" fontId="39" fillId="14" borderId="11" xfId="50" applyFont="1" applyFill="1" applyBorder="1" applyAlignment="1" applyProtection="1">
      <alignment vertical="center"/>
    </xf>
    <xf numFmtId="0" fontId="39" fillId="14" borderId="35" xfId="50" applyFont="1" applyFill="1" applyBorder="1" applyAlignment="1" applyProtection="1">
      <alignment vertical="center"/>
    </xf>
    <xf numFmtId="176" fontId="40" fillId="14" borderId="32" xfId="0" applyNumberFormat="1" applyFont="1" applyFill="1" applyBorder="1" applyAlignment="1">
      <alignment vertical="center" wrapText="1"/>
    </xf>
    <xf numFmtId="0" fontId="42" fillId="14" borderId="62" xfId="0" applyNumberFormat="1" applyFont="1" applyFill="1" applyBorder="1" applyAlignment="1">
      <alignment horizontal="right" vertical="center" wrapText="1"/>
    </xf>
    <xf numFmtId="176" fontId="42" fillId="14" borderId="62" xfId="0" applyNumberFormat="1" applyFont="1" applyFill="1" applyBorder="1" applyAlignment="1">
      <alignment horizontal="right" vertical="center" wrapText="1"/>
    </xf>
    <xf numFmtId="176" fontId="30" fillId="14" borderId="35" xfId="50" applyNumberFormat="1" applyFont="1" applyFill="1" applyBorder="1" applyAlignment="1" applyProtection="1">
      <alignment horizontal="center" vertical="center"/>
    </xf>
    <xf numFmtId="176" fontId="15" fillId="14" borderId="33" xfId="50" applyNumberFormat="1" applyFont="1" applyFill="1" applyBorder="1" applyAlignment="1" applyProtection="1">
      <alignment horizontal="center" vertical="center"/>
    </xf>
    <xf numFmtId="176" fontId="15" fillId="14" borderId="34" xfId="50" applyNumberFormat="1" applyFont="1" applyFill="1" applyBorder="1" applyAlignment="1" applyProtection="1">
      <alignment horizontal="center" vertical="center"/>
    </xf>
    <xf numFmtId="176" fontId="42" fillId="14" borderId="48" xfId="50" applyNumberFormat="1" applyFont="1" applyFill="1" applyBorder="1" applyAlignment="1" applyProtection="1">
      <alignment horizontal="center" vertical="center"/>
    </xf>
    <xf numFmtId="176" fontId="42" fillId="14" borderId="15" xfId="50" applyNumberFormat="1" applyFont="1" applyFill="1" applyBorder="1" applyAlignment="1" applyProtection="1">
      <alignment horizontal="center" vertical="center"/>
    </xf>
    <xf numFmtId="176" fontId="15" fillId="14" borderId="58" xfId="50" applyNumberFormat="1" applyFont="1" applyFill="1" applyBorder="1" applyAlignment="1" applyProtection="1">
      <alignment horizontal="center" vertical="center"/>
    </xf>
    <xf numFmtId="176" fontId="30" fillId="14" borderId="13" xfId="50" applyNumberFormat="1" applyFont="1" applyFill="1" applyBorder="1" applyAlignment="1" applyProtection="1">
      <alignment horizontal="center" vertical="center"/>
    </xf>
    <xf numFmtId="176" fontId="43" fillId="15" borderId="7" xfId="50" applyNumberFormat="1" applyFont="1" applyFill="1" applyBorder="1" applyAlignment="1" applyProtection="1">
      <alignment horizontal="center" vertical="center" wrapText="1"/>
    </xf>
    <xf numFmtId="176" fontId="43" fillId="15" borderId="4" xfId="50" applyNumberFormat="1" applyFont="1" applyFill="1" applyBorder="1" applyAlignment="1" applyProtection="1">
      <alignment horizontal="right" vertical="center" wrapText="1"/>
    </xf>
    <xf numFmtId="176" fontId="43" fillId="15" borderId="6" xfId="50" applyNumberFormat="1" applyFont="1" applyFill="1" applyBorder="1" applyAlignment="1" applyProtection="1">
      <alignment horizontal="right" vertical="center" wrapText="1"/>
    </xf>
    <xf numFmtId="176" fontId="43" fillId="15" borderId="69" xfId="50" applyNumberFormat="1" applyFont="1" applyFill="1" applyBorder="1" applyAlignment="1" applyProtection="1">
      <alignment horizontal="right" vertical="center" wrapText="1"/>
    </xf>
    <xf numFmtId="176" fontId="41" fillId="15" borderId="44" xfId="50" applyNumberFormat="1" applyFont="1" applyFill="1" applyBorder="1" applyAlignment="1" applyProtection="1">
      <alignment horizontal="right" vertical="center" wrapText="1"/>
    </xf>
    <xf numFmtId="176" fontId="41" fillId="15" borderId="18" xfId="50" applyNumberFormat="1" applyFont="1" applyFill="1" applyBorder="1" applyAlignment="1" applyProtection="1">
      <alignment horizontal="right" vertical="center" wrapText="1"/>
    </xf>
    <xf numFmtId="176" fontId="43" fillId="15" borderId="22" xfId="50" applyNumberFormat="1" applyFont="1" applyFill="1" applyBorder="1" applyAlignment="1" applyProtection="1">
      <alignment horizontal="center" vertical="center" wrapText="1"/>
    </xf>
    <xf numFmtId="176" fontId="43" fillId="15" borderId="67" xfId="50" applyNumberFormat="1" applyFont="1" applyFill="1" applyBorder="1" applyAlignment="1" applyProtection="1">
      <alignment horizontal="right" vertical="center" wrapText="1"/>
    </xf>
    <xf numFmtId="176" fontId="43" fillId="15" borderId="0" xfId="50" applyNumberFormat="1" applyFont="1" applyFill="1" applyBorder="1" applyAlignment="1" applyProtection="1">
      <alignment horizontal="right" vertical="center" wrapText="1"/>
    </xf>
    <xf numFmtId="176" fontId="43" fillId="15" borderId="29" xfId="50" applyNumberFormat="1" applyFont="1" applyFill="1" applyBorder="1" applyAlignment="1" applyProtection="1">
      <alignment horizontal="right" vertical="center" wrapText="1"/>
    </xf>
    <xf numFmtId="176" fontId="41" fillId="15" borderId="68" xfId="50" applyNumberFormat="1" applyFont="1" applyFill="1" applyBorder="1" applyAlignment="1" applyProtection="1">
      <alignment horizontal="right" vertical="center" wrapText="1"/>
    </xf>
    <xf numFmtId="176" fontId="41" fillId="15" borderId="38" xfId="50" applyNumberFormat="1" applyFont="1" applyFill="1" applyBorder="1" applyAlignment="1" applyProtection="1">
      <alignment horizontal="right" vertical="center" wrapText="1"/>
    </xf>
    <xf numFmtId="176" fontId="43" fillId="15" borderId="13" xfId="50" applyNumberFormat="1" applyFont="1" applyFill="1" applyBorder="1" applyAlignment="1" applyProtection="1">
      <alignment horizontal="center" vertical="center" wrapText="1"/>
    </xf>
    <xf numFmtId="176" fontId="43" fillId="15" borderId="11" xfId="50" applyNumberFormat="1" applyFont="1" applyFill="1" applyBorder="1" applyAlignment="1" applyProtection="1">
      <alignment horizontal="right" vertical="center" wrapText="1"/>
    </xf>
    <xf numFmtId="176" fontId="43" fillId="15" borderId="33" xfId="50" applyNumberFormat="1" applyFont="1" applyFill="1" applyBorder="1" applyAlignment="1" applyProtection="1">
      <alignment horizontal="right" vertical="center" wrapText="1"/>
    </xf>
    <xf numFmtId="176" fontId="43" fillId="15" borderId="35" xfId="50" applyNumberFormat="1" applyFont="1" applyFill="1" applyBorder="1" applyAlignment="1" applyProtection="1">
      <alignment horizontal="right" vertical="center" wrapText="1"/>
    </xf>
    <xf numFmtId="176" fontId="41" fillId="15" borderId="64" xfId="50" applyNumberFormat="1" applyFont="1" applyFill="1" applyBorder="1" applyAlignment="1" applyProtection="1">
      <alignment horizontal="right" vertical="center" wrapText="1"/>
    </xf>
    <xf numFmtId="176" fontId="41" fillId="15" borderId="39" xfId="50" applyNumberFormat="1" applyFont="1" applyFill="1" applyBorder="1" applyAlignment="1" applyProtection="1">
      <alignment horizontal="right" vertical="center" wrapText="1"/>
    </xf>
    <xf numFmtId="0" fontId="39" fillId="16" borderId="7" xfId="50" applyFont="1" applyFill="1" applyBorder="1" applyAlignment="1" applyProtection="1">
      <alignment horizontal="center" vertical="center"/>
    </xf>
    <xf numFmtId="0" fontId="44" fillId="17" borderId="7" xfId="50" applyFont="1" applyFill="1" applyBorder="1" applyAlignment="1" applyProtection="1">
      <alignment horizontal="center" vertical="center" wrapText="1"/>
    </xf>
    <xf numFmtId="0" fontId="44" fillId="17" borderId="4" xfId="50" applyFont="1" applyFill="1" applyBorder="1" applyAlignment="1" applyProtection="1">
      <alignment horizontal="center" vertical="center" wrapText="1"/>
    </xf>
    <xf numFmtId="0" fontId="44" fillId="17" borderId="69" xfId="50" applyFont="1" applyFill="1" applyBorder="1" applyAlignment="1" applyProtection="1">
      <alignment horizontal="center" vertical="center" wrapText="1"/>
    </xf>
    <xf numFmtId="0" fontId="30" fillId="17" borderId="10" xfId="50" applyFont="1" applyFill="1" applyBorder="1" applyAlignment="1" applyProtection="1">
      <alignment horizontal="right" vertical="center"/>
    </xf>
    <xf numFmtId="0" fontId="30" fillId="17" borderId="14" xfId="50" applyFont="1" applyFill="1" applyBorder="1" applyAlignment="1" applyProtection="1">
      <alignment horizontal="right" vertical="center"/>
    </xf>
    <xf numFmtId="0" fontId="39" fillId="16" borderId="22" xfId="50" applyFont="1" applyFill="1" applyBorder="1" applyAlignment="1" applyProtection="1">
      <alignment horizontal="center" vertical="center"/>
    </xf>
    <xf numFmtId="0" fontId="44" fillId="17" borderId="22" xfId="50" applyFont="1" applyFill="1" applyBorder="1" applyAlignment="1" applyProtection="1">
      <alignment horizontal="center" vertical="center" wrapText="1"/>
    </xf>
    <xf numFmtId="0" fontId="44" fillId="17" borderId="67" xfId="50" applyFont="1" applyFill="1" applyBorder="1" applyAlignment="1" applyProtection="1">
      <alignment horizontal="center" vertical="center" wrapText="1"/>
    </xf>
    <xf numFmtId="0" fontId="44" fillId="17" borderId="29" xfId="50" applyFont="1" applyFill="1" applyBorder="1" applyAlignment="1" applyProtection="1">
      <alignment horizontal="center" vertical="center" wrapText="1"/>
    </xf>
    <xf numFmtId="0" fontId="30" fillId="17" borderId="4" xfId="50" applyFont="1" applyFill="1" applyBorder="1" applyAlignment="1" applyProtection="1">
      <alignment horizontal="right" vertical="center" wrapText="1"/>
    </xf>
    <xf numFmtId="0" fontId="30" fillId="17" borderId="70" xfId="50" applyFont="1" applyFill="1" applyBorder="1" applyAlignment="1" applyProtection="1">
      <alignment horizontal="right" vertical="center" wrapText="1"/>
    </xf>
    <xf numFmtId="0" fontId="39" fillId="16" borderId="13" xfId="50" applyFont="1" applyFill="1" applyBorder="1" applyAlignment="1" applyProtection="1">
      <alignment horizontal="center" vertical="center"/>
    </xf>
    <xf numFmtId="0" fontId="44" fillId="17" borderId="13" xfId="50" applyFont="1" applyFill="1" applyBorder="1" applyAlignment="1" applyProtection="1">
      <alignment horizontal="center" vertical="center" wrapText="1"/>
    </xf>
    <xf numFmtId="0" fontId="44" fillId="17" borderId="11" xfId="50" applyFont="1" applyFill="1" applyBorder="1" applyAlignment="1" applyProtection="1">
      <alignment horizontal="center" vertical="center" wrapText="1"/>
    </xf>
    <xf numFmtId="0" fontId="44" fillId="17" borderId="35" xfId="50" applyFont="1" applyFill="1" applyBorder="1" applyAlignment="1" applyProtection="1">
      <alignment horizontal="center" vertical="center" wrapText="1"/>
    </xf>
    <xf numFmtId="0" fontId="30" fillId="17" borderId="11" xfId="50" applyFont="1" applyFill="1" applyBorder="1" applyAlignment="1" applyProtection="1">
      <alignment horizontal="right" vertical="center" wrapText="1"/>
    </xf>
    <xf numFmtId="0" fontId="30" fillId="17" borderId="71" xfId="50" applyFont="1" applyFill="1" applyBorder="1" applyAlignment="1" applyProtection="1">
      <alignment horizontal="right" vertical="center" wrapText="1"/>
    </xf>
    <xf numFmtId="0" fontId="44" fillId="2" borderId="67" xfId="50" applyFont="1" applyFill="1" applyBorder="1" applyAlignment="1" applyProtection="1">
      <alignment horizontal="center" vertical="center" wrapText="1"/>
    </xf>
    <xf numFmtId="49" fontId="45" fillId="0" borderId="0" xfId="0" applyNumberFormat="1" applyFont="1" applyFill="1" applyBorder="1" applyAlignment="1">
      <alignment horizontal="left" vertical="center"/>
    </xf>
    <xf numFmtId="0" fontId="4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right" vertical="center" wrapText="1"/>
    </xf>
    <xf numFmtId="0" fontId="27" fillId="2" borderId="17" xfId="50" applyFont="1" applyFill="1" applyBorder="1" applyAlignment="1" applyProtection="1">
      <alignment horizontal="center" vertical="center" wrapText="1"/>
    </xf>
    <xf numFmtId="0" fontId="30" fillId="18" borderId="19" xfId="50" applyFont="1" applyFill="1" applyBorder="1" applyAlignment="1" applyProtection="1">
      <alignment horizontal="center" vertical="center"/>
    </xf>
    <xf numFmtId="176" fontId="30" fillId="18" borderId="50" xfId="50" applyNumberFormat="1" applyFont="1" applyFill="1" applyBorder="1" applyAlignment="1" applyProtection="1">
      <alignment horizontal="center" vertical="center"/>
    </xf>
    <xf numFmtId="0" fontId="27" fillId="18" borderId="17" xfId="0" applyFont="1" applyFill="1" applyBorder="1" applyAlignment="1">
      <alignment horizontal="center" vertical="center" wrapText="1"/>
    </xf>
    <xf numFmtId="0" fontId="30" fillId="18" borderId="66" xfId="0" applyFont="1" applyFill="1" applyBorder="1" applyAlignment="1">
      <alignment horizontal="center" vertical="center" wrapText="1"/>
    </xf>
    <xf numFmtId="0" fontId="27" fillId="2" borderId="26" xfId="50" applyFont="1" applyFill="1" applyBorder="1" applyAlignment="1" applyProtection="1">
      <alignment horizontal="center" vertical="center" wrapText="1"/>
    </xf>
    <xf numFmtId="0" fontId="30" fillId="18" borderId="1" xfId="50" applyFont="1" applyFill="1" applyBorder="1" applyAlignment="1" applyProtection="1">
      <alignment horizontal="center" vertical="center"/>
    </xf>
    <xf numFmtId="176" fontId="30" fillId="18" borderId="49" xfId="50" applyNumberFormat="1" applyFont="1" applyFill="1" applyBorder="1" applyAlignment="1" applyProtection="1">
      <alignment horizontal="center" vertical="center"/>
    </xf>
    <xf numFmtId="0" fontId="27" fillId="18" borderId="26" xfId="0" applyFont="1" applyFill="1" applyBorder="1" applyAlignment="1">
      <alignment horizontal="center" vertical="center" wrapText="1"/>
    </xf>
    <xf numFmtId="0" fontId="30" fillId="18" borderId="72" xfId="0" applyFont="1" applyFill="1" applyBorder="1" applyAlignment="1">
      <alignment horizontal="center" vertical="center" wrapText="1"/>
    </xf>
    <xf numFmtId="0" fontId="30" fillId="18" borderId="63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/>
    </xf>
    <xf numFmtId="0" fontId="27" fillId="2" borderId="36" xfId="50" applyFont="1" applyFill="1" applyBorder="1" applyAlignment="1" applyProtection="1">
      <alignment horizontal="center" vertical="center" wrapText="1"/>
    </xf>
    <xf numFmtId="0" fontId="15" fillId="18" borderId="40" xfId="0" applyFont="1" applyFill="1" applyBorder="1" applyAlignment="1">
      <alignment horizontal="center" vertical="center"/>
    </xf>
    <xf numFmtId="0" fontId="30" fillId="18" borderId="40" xfId="50" applyFont="1" applyFill="1" applyBorder="1" applyAlignment="1" applyProtection="1">
      <alignment horizontal="center" vertical="center"/>
    </xf>
    <xf numFmtId="0" fontId="21" fillId="18" borderId="40" xfId="50" applyFont="1" applyFill="1" applyBorder="1" applyAlignment="1" applyProtection="1">
      <alignment horizontal="right" vertical="center"/>
    </xf>
    <xf numFmtId="176" fontId="21" fillId="18" borderId="41" xfId="50" applyNumberFormat="1" applyFont="1" applyFill="1" applyBorder="1" applyAlignment="1" applyProtection="1">
      <alignment horizontal="center" vertical="center"/>
    </xf>
    <xf numFmtId="0" fontId="27" fillId="18" borderId="36" xfId="0" applyFont="1" applyFill="1" applyBorder="1" applyAlignment="1">
      <alignment horizontal="center" vertical="center" wrapText="1"/>
    </xf>
    <xf numFmtId="0" fontId="30" fillId="18" borderId="65" xfId="0" applyFont="1" applyFill="1" applyBorder="1" applyAlignment="1">
      <alignment horizontal="center" vertical="center" wrapText="1"/>
    </xf>
    <xf numFmtId="0" fontId="27" fillId="2" borderId="67" xfId="50" applyFont="1" applyFill="1" applyBorder="1" applyAlignment="1" applyProtection="1">
      <alignment horizontal="center" vertical="center" wrapText="1"/>
    </xf>
    <xf numFmtId="0" fontId="30" fillId="2" borderId="0" xfId="50" applyFont="1" applyFill="1" applyBorder="1" applyAlignment="1" applyProtection="1">
      <alignment horizontal="center" vertical="center"/>
    </xf>
    <xf numFmtId="176" fontId="30" fillId="2" borderId="0" xfId="5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49" fillId="2" borderId="33" xfId="50" applyFont="1" applyFill="1" applyBorder="1" applyAlignment="1" applyProtection="1">
      <alignment horizontal="right" vertical="center"/>
    </xf>
    <xf numFmtId="0" fontId="48" fillId="0" borderId="33" xfId="0" applyFont="1" applyBorder="1" applyAlignment="1">
      <alignment horizontal="right" vertical="center" wrapText="1"/>
    </xf>
    <xf numFmtId="0" fontId="10" fillId="2" borderId="7" xfId="50" applyFont="1" applyFill="1" applyBorder="1" applyAlignment="1" applyProtection="1">
      <alignment horizontal="center" vertical="center" wrapText="1"/>
    </xf>
    <xf numFmtId="0" fontId="30" fillId="19" borderId="16" xfId="50" applyFont="1" applyFill="1" applyBorder="1" applyAlignment="1" applyProtection="1">
      <alignment horizontal="center" vertical="center" wrapText="1"/>
    </xf>
    <xf numFmtId="176" fontId="30" fillId="19" borderId="73" xfId="50" applyNumberFormat="1" applyFont="1" applyFill="1" applyBorder="1" applyAlignment="1" applyProtection="1">
      <alignment horizontal="center" vertical="center" wrapText="1"/>
    </xf>
    <xf numFmtId="176" fontId="30" fillId="19" borderId="70" xfId="50" applyNumberFormat="1" applyFont="1" applyFill="1" applyBorder="1" applyAlignment="1" applyProtection="1">
      <alignment horizontal="center" vertical="center" wrapText="1"/>
    </xf>
    <xf numFmtId="0" fontId="30" fillId="19" borderId="54" xfId="50" applyFont="1" applyFill="1" applyBorder="1" applyAlignment="1" applyProtection="1">
      <alignment horizontal="center" vertical="center" wrapText="1"/>
    </xf>
    <xf numFmtId="0" fontId="30" fillId="19" borderId="17" xfId="50" applyFont="1" applyFill="1" applyBorder="1" applyAlignment="1" applyProtection="1">
      <alignment horizontal="center" vertical="center" wrapText="1"/>
    </xf>
    <xf numFmtId="0" fontId="30" fillId="19" borderId="19" xfId="50" applyFont="1" applyFill="1" applyBorder="1" applyAlignment="1" applyProtection="1">
      <alignment horizontal="center" vertical="center" wrapText="1"/>
    </xf>
    <xf numFmtId="176" fontId="30" fillId="19" borderId="19" xfId="50" applyNumberFormat="1" applyFont="1" applyFill="1" applyBorder="1" applyAlignment="1" applyProtection="1">
      <alignment horizontal="center" vertical="center" wrapText="1"/>
    </xf>
    <xf numFmtId="0" fontId="10" fillId="2" borderId="22" xfId="50" applyFont="1" applyFill="1" applyBorder="1" applyAlignment="1" applyProtection="1">
      <alignment horizontal="center" vertical="center" wrapText="1"/>
    </xf>
    <xf numFmtId="0" fontId="30" fillId="20" borderId="26" xfId="50" applyFont="1" applyFill="1" applyBorder="1" applyAlignment="1" applyProtection="1">
      <alignment horizontal="center" vertical="center" wrapText="1"/>
    </xf>
    <xf numFmtId="176" fontId="30" fillId="20" borderId="1" xfId="50" applyNumberFormat="1" applyFont="1" applyFill="1" applyBorder="1" applyAlignment="1" applyProtection="1">
      <alignment horizontal="center" vertical="center" wrapText="1"/>
    </xf>
    <xf numFmtId="0" fontId="30" fillId="20" borderId="45" xfId="50" applyFont="1" applyFill="1" applyBorder="1" applyAlignment="1" applyProtection="1">
      <alignment horizontal="center" vertical="center" wrapText="1"/>
    </xf>
    <xf numFmtId="0" fontId="30" fillId="20" borderId="1" xfId="50" applyFont="1" applyFill="1" applyBorder="1" applyAlignment="1" applyProtection="1">
      <alignment horizontal="center" vertical="center" wrapText="1"/>
    </xf>
    <xf numFmtId="0" fontId="30" fillId="21" borderId="26" xfId="50" applyFont="1" applyFill="1" applyBorder="1" applyAlignment="1" applyProtection="1">
      <alignment horizontal="center" vertical="center" wrapText="1"/>
    </xf>
    <xf numFmtId="176" fontId="30" fillId="21" borderId="1" xfId="50" applyNumberFormat="1" applyFont="1" applyFill="1" applyBorder="1" applyAlignment="1" applyProtection="1">
      <alignment horizontal="center" vertical="center" wrapText="1"/>
    </xf>
    <xf numFmtId="0" fontId="30" fillId="21" borderId="45" xfId="50" applyFont="1" applyFill="1" applyBorder="1" applyAlignment="1" applyProtection="1">
      <alignment horizontal="center" vertical="center" wrapText="1"/>
    </xf>
    <xf numFmtId="0" fontId="30" fillId="21" borderId="74" xfId="50" applyFont="1" applyFill="1" applyBorder="1" applyAlignment="1" applyProtection="1">
      <alignment horizontal="center" vertical="center" wrapText="1"/>
    </xf>
    <xf numFmtId="0" fontId="30" fillId="21" borderId="28" xfId="50" applyFont="1" applyFill="1" applyBorder="1" applyAlignment="1" applyProtection="1">
      <alignment horizontal="center" vertical="center" wrapText="1"/>
    </xf>
    <xf numFmtId="176" fontId="30" fillId="21" borderId="28" xfId="50" applyNumberFormat="1" applyFont="1" applyFill="1" applyBorder="1" applyAlignment="1" applyProtection="1">
      <alignment horizontal="center" vertical="center" wrapText="1"/>
    </xf>
    <xf numFmtId="0" fontId="30" fillId="22" borderId="36" xfId="50" applyFont="1" applyFill="1" applyBorder="1" applyAlignment="1" applyProtection="1">
      <alignment horizontal="center" vertical="center" wrapText="1"/>
    </xf>
    <xf numFmtId="176" fontId="30" fillId="22" borderId="40" xfId="50" applyNumberFormat="1" applyFont="1" applyFill="1" applyBorder="1" applyAlignment="1" applyProtection="1">
      <alignment horizontal="center" vertical="center" wrapText="1"/>
    </xf>
    <xf numFmtId="176" fontId="30" fillId="22" borderId="65" xfId="50" applyNumberFormat="1" applyFont="1" applyFill="1" applyBorder="1" applyAlignment="1" applyProtection="1">
      <alignment horizontal="center" vertical="center" wrapText="1"/>
    </xf>
    <xf numFmtId="0" fontId="30" fillId="22" borderId="41" xfId="50" applyFont="1" applyFill="1" applyBorder="1" applyAlignment="1" applyProtection="1">
      <alignment horizontal="center" vertical="center" wrapText="1"/>
    </xf>
    <xf numFmtId="0" fontId="30" fillId="23" borderId="75" xfId="50" applyFont="1" applyFill="1" applyBorder="1" applyAlignment="1" applyProtection="1">
      <alignment horizontal="center" vertical="center" wrapText="1"/>
    </xf>
    <xf numFmtId="0" fontId="30" fillId="23" borderId="76" xfId="50" applyNumberFormat="1" applyFont="1" applyFill="1" applyBorder="1" applyAlignment="1" applyProtection="1">
      <alignment horizontal="center" vertical="center" wrapText="1"/>
    </xf>
    <xf numFmtId="176" fontId="30" fillId="23" borderId="77" xfId="50" applyNumberFormat="1" applyFont="1" applyFill="1" applyBorder="1" applyAlignment="1" applyProtection="1">
      <alignment horizontal="center" vertical="center" wrapText="1"/>
    </xf>
    <xf numFmtId="0" fontId="30" fillId="2" borderId="27" xfId="50" applyFont="1" applyFill="1" applyBorder="1" applyAlignment="1" applyProtection="1">
      <alignment horizontal="center" vertical="center" wrapText="1"/>
    </xf>
    <xf numFmtId="0" fontId="30" fillId="2" borderId="2" xfId="50" applyNumberFormat="1" applyFont="1" applyFill="1" applyBorder="1" applyAlignment="1" applyProtection="1">
      <alignment horizontal="center" vertical="center" wrapText="1"/>
    </xf>
    <xf numFmtId="176" fontId="30" fillId="2" borderId="51" xfId="50" applyNumberFormat="1" applyFont="1" applyFill="1" applyBorder="1" applyAlignment="1" applyProtection="1">
      <alignment horizontal="center" vertical="center" wrapText="1"/>
    </xf>
    <xf numFmtId="0" fontId="30" fillId="2" borderId="0" xfId="50" applyFont="1" applyFill="1" applyBorder="1" applyAlignment="1" applyProtection="1">
      <alignment horizontal="center" vertical="center" wrapText="1"/>
    </xf>
    <xf numFmtId="0" fontId="30" fillId="24" borderId="78" xfId="50" applyFont="1" applyFill="1" applyBorder="1" applyAlignment="1" applyProtection="1">
      <alignment horizontal="center" vertical="center" wrapText="1"/>
    </xf>
    <xf numFmtId="0" fontId="30" fillId="24" borderId="1" xfId="50" applyNumberFormat="1" applyFont="1" applyFill="1" applyBorder="1" applyAlignment="1" applyProtection="1">
      <alignment horizontal="center" vertical="center" wrapText="1"/>
    </xf>
    <xf numFmtId="176" fontId="30" fillId="24" borderId="1" xfId="50" applyNumberFormat="1" applyFont="1" applyFill="1" applyBorder="1" applyAlignment="1" applyProtection="1">
      <alignment horizontal="center" vertical="center" wrapText="1"/>
    </xf>
    <xf numFmtId="0" fontId="30" fillId="2" borderId="79" xfId="50" applyFont="1" applyFill="1" applyBorder="1" applyAlignment="1" applyProtection="1">
      <alignment horizontal="center" vertical="center" wrapText="1"/>
    </xf>
    <xf numFmtId="0" fontId="30" fillId="2" borderId="1" xfId="50" applyNumberFormat="1" applyFont="1" applyFill="1" applyBorder="1" applyAlignment="1" applyProtection="1">
      <alignment horizontal="center" vertical="center" wrapText="1"/>
    </xf>
    <xf numFmtId="176" fontId="30" fillId="2" borderId="80" xfId="50" applyNumberFormat="1" applyFont="1" applyFill="1" applyBorder="1" applyAlignment="1" applyProtection="1">
      <alignment horizontal="center" vertical="center" wrapText="1"/>
    </xf>
    <xf numFmtId="0" fontId="30" fillId="2" borderId="81" xfId="50" applyFont="1" applyFill="1" applyBorder="1" applyAlignment="1" applyProtection="1">
      <alignment horizontal="center" vertical="center" wrapText="1"/>
    </xf>
    <xf numFmtId="0" fontId="30" fillId="25" borderId="82" xfId="50" applyFont="1" applyFill="1" applyBorder="1" applyAlignment="1" applyProtection="1">
      <alignment horizontal="center" vertical="center" wrapText="1"/>
    </xf>
    <xf numFmtId="0" fontId="30" fillId="25" borderId="28" xfId="50" applyNumberFormat="1" applyFont="1" applyFill="1" applyBorder="1" applyAlignment="1" applyProtection="1">
      <alignment horizontal="center" vertical="center" wrapText="1"/>
    </xf>
    <xf numFmtId="176" fontId="30" fillId="25" borderId="30" xfId="50" applyNumberFormat="1" applyFont="1" applyFill="1" applyBorder="1" applyAlignment="1" applyProtection="1">
      <alignment horizontal="center" vertical="center" wrapText="1"/>
    </xf>
    <xf numFmtId="0" fontId="30" fillId="2" borderId="74" xfId="50" applyFont="1" applyFill="1" applyBorder="1" applyAlignment="1" applyProtection="1">
      <alignment horizontal="center" vertical="center" wrapText="1"/>
    </xf>
    <xf numFmtId="0" fontId="30" fillId="2" borderId="83" xfId="50" applyNumberFormat="1" applyFont="1" applyFill="1" applyBorder="1" applyAlignment="1" applyProtection="1">
      <alignment horizontal="center" vertical="center" wrapText="1"/>
    </xf>
    <xf numFmtId="176" fontId="30" fillId="2" borderId="30" xfId="50" applyNumberFormat="1" applyFont="1" applyFill="1" applyBorder="1" applyAlignment="1" applyProtection="1">
      <alignment horizontal="center" vertical="center" wrapText="1"/>
    </xf>
    <xf numFmtId="0" fontId="30" fillId="14" borderId="82" xfId="50" applyFont="1" applyFill="1" applyBorder="1" applyAlignment="1" applyProtection="1">
      <alignment horizontal="center" vertical="center" wrapText="1"/>
    </xf>
    <xf numFmtId="0" fontId="30" fillId="14" borderId="28" xfId="50" applyNumberFormat="1" applyFont="1" applyFill="1" applyBorder="1" applyAlignment="1" applyProtection="1">
      <alignment horizontal="center" vertical="center" wrapText="1"/>
    </xf>
    <xf numFmtId="176" fontId="30" fillId="14" borderId="30" xfId="50" applyNumberFormat="1" applyFont="1" applyFill="1" applyBorder="1" applyAlignment="1" applyProtection="1">
      <alignment horizontal="center" vertical="center" wrapText="1"/>
    </xf>
    <xf numFmtId="0" fontId="10" fillId="2" borderId="67" xfId="50" applyFont="1" applyFill="1" applyBorder="1" applyAlignment="1" applyProtection="1">
      <alignment horizontal="center" vertical="center" wrapText="1"/>
    </xf>
    <xf numFmtId="0" fontId="21" fillId="2" borderId="17" xfId="50" applyFont="1" applyFill="1" applyBorder="1" applyAlignment="1" applyProtection="1">
      <alignment vertical="center" wrapText="1"/>
    </xf>
    <xf numFmtId="0" fontId="21" fillId="2" borderId="19" xfId="50" applyFont="1" applyFill="1" applyBorder="1" applyAlignment="1" applyProtection="1">
      <alignment vertical="center" wrapText="1"/>
    </xf>
    <xf numFmtId="0" fontId="19" fillId="2" borderId="19" xfId="50" applyFont="1" applyFill="1" applyBorder="1" applyAlignment="1" applyProtection="1">
      <alignment horizontal="right" vertical="center" wrapText="1"/>
    </xf>
    <xf numFmtId="176" fontId="21" fillId="2" borderId="19" xfId="50" applyNumberFormat="1" applyFont="1" applyFill="1" applyBorder="1" applyAlignment="1" applyProtection="1">
      <alignment vertical="center" wrapText="1"/>
    </xf>
    <xf numFmtId="49" fontId="30" fillId="26" borderId="26" xfId="0" applyNumberFormat="1" applyFont="1" applyFill="1" applyBorder="1" applyAlignment="1">
      <alignment horizontal="center" vertical="center"/>
    </xf>
    <xf numFmtId="49" fontId="30" fillId="26" borderId="1" xfId="0" applyNumberFormat="1" applyFont="1" applyFill="1" applyBorder="1" applyAlignment="1">
      <alignment horizontal="center" vertical="center"/>
    </xf>
    <xf numFmtId="176" fontId="30" fillId="26" borderId="1" xfId="0" applyNumberFormat="1" applyFont="1" applyFill="1" applyBorder="1" applyAlignment="1">
      <alignment horizontal="center" vertical="center"/>
    </xf>
    <xf numFmtId="0" fontId="30" fillId="26" borderId="1" xfId="50" applyFont="1" applyFill="1" applyBorder="1" applyAlignment="1" applyProtection="1">
      <alignment horizontal="center" vertical="center" wrapText="1"/>
    </xf>
    <xf numFmtId="0" fontId="30" fillId="26" borderId="1" xfId="0" applyFont="1" applyFill="1" applyBorder="1" applyAlignment="1">
      <alignment horizontal="center" vertical="center"/>
    </xf>
    <xf numFmtId="0" fontId="10" fillId="2" borderId="0" xfId="50" applyFont="1" applyFill="1" applyBorder="1" applyAlignment="1" applyProtection="1">
      <alignment horizontal="center" vertical="center" wrapText="1"/>
    </xf>
    <xf numFmtId="49" fontId="30" fillId="2" borderId="26" xfId="0" applyNumberFormat="1" applyFont="1" applyFill="1" applyBorder="1" applyAlignment="1">
      <alignment horizontal="center" vertical="center"/>
    </xf>
    <xf numFmtId="49" fontId="30" fillId="2" borderId="1" xfId="0" applyNumberFormat="1" applyFont="1" applyFill="1" applyBorder="1" applyAlignment="1">
      <alignment horizontal="center" vertical="center"/>
    </xf>
    <xf numFmtId="176" fontId="30" fillId="2" borderId="1" xfId="0" applyNumberFormat="1" applyFont="1" applyFill="1" applyBorder="1" applyAlignment="1">
      <alignment horizontal="center" vertical="center"/>
    </xf>
    <xf numFmtId="0" fontId="30" fillId="2" borderId="1" xfId="50" applyFont="1" applyFill="1" applyBorder="1" applyAlignment="1" applyProtection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49" fontId="30" fillId="24" borderId="26" xfId="0" applyNumberFormat="1" applyFont="1" applyFill="1" applyBorder="1" applyAlignment="1">
      <alignment horizontal="center" vertical="center"/>
    </xf>
    <xf numFmtId="49" fontId="30" fillId="24" borderId="1" xfId="0" applyNumberFormat="1" applyFont="1" applyFill="1" applyBorder="1" applyAlignment="1">
      <alignment horizontal="center" vertical="center"/>
    </xf>
    <xf numFmtId="176" fontId="30" fillId="24" borderId="1" xfId="0" applyNumberFormat="1" applyFont="1" applyFill="1" applyBorder="1" applyAlignment="1">
      <alignment horizontal="center" vertical="center"/>
    </xf>
    <xf numFmtId="0" fontId="30" fillId="24" borderId="1" xfId="50" applyFont="1" applyFill="1" applyBorder="1" applyAlignment="1" applyProtection="1">
      <alignment horizontal="center" vertical="center" wrapText="1"/>
    </xf>
    <xf numFmtId="49" fontId="30" fillId="4" borderId="1" xfId="0" applyNumberFormat="1" applyFont="1" applyFill="1" applyBorder="1" applyAlignment="1">
      <alignment horizontal="center" vertical="center"/>
    </xf>
    <xf numFmtId="176" fontId="30" fillId="4" borderId="1" xfId="0" applyNumberFormat="1" applyFont="1" applyFill="1" applyBorder="1" applyAlignment="1">
      <alignment horizontal="center" vertical="center"/>
    </xf>
    <xf numFmtId="0" fontId="0" fillId="0" borderId="36" xfId="0" applyBorder="1">
      <alignment vertical="center"/>
    </xf>
    <xf numFmtId="0" fontId="7" fillId="0" borderId="40" xfId="0" applyFont="1" applyBorder="1" applyAlignment="1">
      <alignment horizontal="center" vertical="center"/>
    </xf>
    <xf numFmtId="0" fontId="19" fillId="2" borderId="40" xfId="50" applyFont="1" applyFill="1" applyBorder="1" applyAlignment="1" applyProtection="1">
      <alignment horizontal="right" vertical="center" wrapText="1"/>
    </xf>
    <xf numFmtId="176" fontId="12" fillId="0" borderId="40" xfId="0" applyNumberFormat="1" applyFont="1" applyBorder="1">
      <alignment vertical="center"/>
    </xf>
    <xf numFmtId="176" fontId="41" fillId="15" borderId="20" xfId="50" applyNumberFormat="1" applyFont="1" applyFill="1" applyBorder="1" applyAlignment="1" applyProtection="1">
      <alignment horizontal="right" vertical="center" wrapText="1"/>
    </xf>
    <xf numFmtId="176" fontId="30" fillId="15" borderId="84" xfId="50" applyNumberFormat="1" applyFont="1" applyFill="1" applyBorder="1" applyAlignment="1" applyProtection="1">
      <alignment horizontal="center" vertical="center" wrapText="1"/>
    </xf>
    <xf numFmtId="176" fontId="41" fillId="15" borderId="42" xfId="50" applyNumberFormat="1" applyFont="1" applyFill="1" applyBorder="1" applyAlignment="1" applyProtection="1">
      <alignment horizontal="right" vertical="center" wrapText="1"/>
    </xf>
    <xf numFmtId="176" fontId="30" fillId="15" borderId="57" xfId="50" applyNumberFormat="1" applyFont="1" applyFill="1" applyBorder="1" applyAlignment="1" applyProtection="1">
      <alignment horizontal="center" vertical="center" wrapText="1"/>
    </xf>
    <xf numFmtId="176" fontId="41" fillId="15" borderId="43" xfId="50" applyNumberFormat="1" applyFont="1" applyFill="1" applyBorder="1" applyAlignment="1" applyProtection="1">
      <alignment horizontal="right" vertical="center" wrapText="1"/>
    </xf>
    <xf numFmtId="176" fontId="30" fillId="15" borderId="59" xfId="50" applyNumberFormat="1" applyFont="1" applyFill="1" applyBorder="1" applyAlignment="1" applyProtection="1">
      <alignment horizontal="center" vertical="center" wrapText="1"/>
    </xf>
    <xf numFmtId="0" fontId="21" fillId="17" borderId="47" xfId="50" applyFont="1" applyFill="1" applyBorder="1" applyAlignment="1" applyProtection="1">
      <alignment horizontal="center" vertical="center"/>
    </xf>
    <xf numFmtId="176" fontId="30" fillId="16" borderId="15" xfId="50" applyNumberFormat="1" applyFont="1" applyFill="1" applyBorder="1" applyAlignment="1" applyProtection="1">
      <alignment horizontal="center" vertical="center"/>
    </xf>
    <xf numFmtId="0" fontId="30" fillId="17" borderId="19" xfId="50" applyFont="1" applyFill="1" applyBorder="1" applyAlignment="1" applyProtection="1">
      <alignment horizontal="center" vertical="center"/>
    </xf>
    <xf numFmtId="176" fontId="30" fillId="16" borderId="31" xfId="50" applyNumberFormat="1" applyFont="1" applyFill="1" applyBorder="1" applyAlignment="1" applyProtection="1">
      <alignment horizontal="center" vertical="center"/>
    </xf>
    <xf numFmtId="0" fontId="21" fillId="17" borderId="40" xfId="50" applyFont="1" applyFill="1" applyBorder="1" applyAlignment="1" applyProtection="1">
      <alignment horizontal="center" vertical="center"/>
    </xf>
    <xf numFmtId="176" fontId="30" fillId="16" borderId="37" xfId="50" applyNumberFormat="1" applyFont="1" applyFill="1" applyBorder="1" applyAlignment="1" applyProtection="1">
      <alignment horizontal="center" vertical="center" wrapText="1"/>
    </xf>
    <xf numFmtId="0" fontId="46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24" fillId="18" borderId="73" xfId="0" applyFont="1" applyFill="1" applyBorder="1" applyAlignment="1">
      <alignment horizontal="center" vertical="center"/>
    </xf>
    <xf numFmtId="176" fontId="24" fillId="18" borderId="31" xfId="0" applyNumberFormat="1" applyFont="1" applyFill="1" applyBorder="1">
      <alignment vertical="center"/>
    </xf>
    <xf numFmtId="176" fontId="24" fillId="18" borderId="45" xfId="0" applyNumberFormat="1" applyFont="1" applyFill="1" applyBorder="1">
      <alignment vertical="center"/>
    </xf>
    <xf numFmtId="0" fontId="24" fillId="18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5" fillId="18" borderId="40" xfId="0" applyFont="1" applyFill="1" applyBorder="1" applyAlignment="1">
      <alignment horizontal="right" vertical="center"/>
    </xf>
    <xf numFmtId="176" fontId="25" fillId="18" borderId="37" xfId="0" applyNumberFormat="1" applyFont="1" applyFill="1" applyBorder="1">
      <alignment vertical="center"/>
    </xf>
    <xf numFmtId="0" fontId="30" fillId="19" borderId="31" xfId="50" applyFont="1" applyFill="1" applyBorder="1" applyAlignment="1" applyProtection="1">
      <alignment horizontal="center" vertical="center" wrapText="1"/>
    </xf>
    <xf numFmtId="0" fontId="30" fillId="19" borderId="45" xfId="50" applyFont="1" applyFill="1" applyBorder="1" applyAlignment="1" applyProtection="1">
      <alignment horizontal="center" vertical="center" wrapText="1"/>
    </xf>
    <xf numFmtId="0" fontId="30" fillId="19" borderId="55" xfId="50" applyFont="1" applyFill="1" applyBorder="1" applyAlignment="1" applyProtection="1">
      <alignment horizontal="center" vertical="center" wrapText="1"/>
    </xf>
    <xf numFmtId="0" fontId="30" fillId="23" borderId="85" xfId="50" applyFont="1" applyFill="1" applyBorder="1" applyAlignment="1" applyProtection="1">
      <alignment horizontal="center" vertical="center" wrapText="1"/>
    </xf>
    <xf numFmtId="0" fontId="30" fillId="24" borderId="86" xfId="50" applyFont="1" applyFill="1" applyBorder="1" applyAlignment="1" applyProtection="1">
      <alignment horizontal="center" vertical="center" wrapText="1"/>
    </xf>
    <xf numFmtId="0" fontId="30" fillId="25" borderId="87" xfId="50" applyFont="1" applyFill="1" applyBorder="1" applyAlignment="1" applyProtection="1">
      <alignment horizontal="center" vertical="center" wrapText="1"/>
    </xf>
    <xf numFmtId="0" fontId="30" fillId="14" borderId="87" xfId="50" applyFont="1" applyFill="1" applyBorder="1" applyAlignment="1" applyProtection="1">
      <alignment horizontal="center" vertical="center" wrapText="1"/>
    </xf>
    <xf numFmtId="176" fontId="19" fillId="2" borderId="31" xfId="50" applyNumberFormat="1" applyFont="1" applyFill="1" applyBorder="1" applyAlignment="1" applyProtection="1">
      <alignment vertical="center" wrapText="1"/>
    </xf>
    <xf numFmtId="0" fontId="30" fillId="26" borderId="45" xfId="0" applyFont="1" applyFill="1" applyBorder="1" applyAlignment="1">
      <alignment horizontal="center" vertical="center"/>
    </xf>
    <xf numFmtId="176" fontId="30" fillId="26" borderId="45" xfId="0" applyNumberFormat="1" applyFont="1" applyFill="1" applyBorder="1" applyAlignment="1">
      <alignment horizontal="center" vertical="center"/>
    </xf>
    <xf numFmtId="176" fontId="30" fillId="2" borderId="45" xfId="0" applyNumberFormat="1" applyFont="1" applyFill="1" applyBorder="1" applyAlignment="1">
      <alignment horizontal="center" vertical="center"/>
    </xf>
    <xf numFmtId="49" fontId="30" fillId="4" borderId="45" xfId="0" applyNumberFormat="1" applyFont="1" applyFill="1" applyBorder="1" applyAlignment="1">
      <alignment horizontal="center" vertical="center"/>
    </xf>
    <xf numFmtId="0" fontId="0" fillId="0" borderId="37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0"/>
  <sheetViews>
    <sheetView tabSelected="1" workbookViewId="0">
      <pane xSplit="1" ySplit="5" topLeftCell="B188" activePane="bottomRight" state="frozen"/>
      <selection/>
      <selection pane="topRight"/>
      <selection pane="bottomLeft"/>
      <selection pane="bottomRight" activeCell="F11" sqref="F11"/>
    </sheetView>
  </sheetViews>
  <sheetFormatPr defaultColWidth="10" defaultRowHeight="13.5"/>
  <cols>
    <col min="1" max="1" width="6" style="419" customWidth="1"/>
    <col min="2" max="2" width="14" customWidth="1"/>
    <col min="3" max="3" width="18.775" style="252" customWidth="1"/>
    <col min="4" max="4" width="20.6666666666667" style="252" customWidth="1"/>
    <col min="5" max="5" width="23.2166666666667" style="252" customWidth="1"/>
    <col min="6" max="6" width="18.3333333333333" customWidth="1"/>
    <col min="7" max="7" width="17.775" style="252" customWidth="1"/>
    <col min="8" max="8" width="20.1083333333333" customWidth="1"/>
    <col min="9" max="9" width="16.6666666666667" customWidth="1"/>
    <col min="10" max="10" width="18.1083333333333" customWidth="1"/>
    <col min="11" max="11" width="4" customWidth="1"/>
    <col min="12" max="12" width="16" customWidth="1"/>
  </cols>
  <sheetData>
    <row r="1" ht="20.25" customHeight="1" spans="1:11">
      <c r="A1" s="420" t="s">
        <v>0</v>
      </c>
      <c r="B1" s="421"/>
      <c r="C1" s="421"/>
      <c r="D1" s="421"/>
      <c r="E1" s="421"/>
      <c r="F1" s="421"/>
      <c r="G1" s="421"/>
      <c r="H1" s="421"/>
      <c r="I1" s="421"/>
      <c r="J1" s="421"/>
      <c r="K1" s="166"/>
    </row>
    <row r="2" ht="26.25" customHeight="1" spans="1:11">
      <c r="A2" s="422"/>
      <c r="B2" s="423"/>
      <c r="C2" s="423"/>
      <c r="D2" s="423"/>
      <c r="E2" s="423"/>
      <c r="F2" s="423"/>
      <c r="G2" s="423"/>
      <c r="H2" s="423"/>
      <c r="I2" s="423"/>
      <c r="J2" s="423"/>
      <c r="K2" s="166"/>
    </row>
    <row r="3" ht="16.5" customHeight="1" spans="1:11">
      <c r="A3" s="422"/>
      <c r="B3" s="423"/>
      <c r="C3" s="423"/>
      <c r="D3" s="423"/>
      <c r="E3" s="423"/>
      <c r="F3" s="423"/>
      <c r="G3" s="423"/>
      <c r="H3" s="423"/>
      <c r="I3" s="423"/>
      <c r="J3" s="423"/>
      <c r="K3" s="166"/>
    </row>
    <row r="4" ht="21" customHeight="1" spans="1:11">
      <c r="A4" s="424"/>
      <c r="B4" s="425" t="s">
        <v>1</v>
      </c>
      <c r="C4" s="425"/>
      <c r="D4" s="426" t="s">
        <v>2</v>
      </c>
      <c r="E4" s="426"/>
      <c r="F4" s="426"/>
      <c r="G4" s="426"/>
      <c r="H4" s="426"/>
      <c r="I4" s="426"/>
      <c r="J4" s="457"/>
      <c r="K4" s="166"/>
    </row>
    <row r="5" ht="22.5" customHeight="1" spans="1:11">
      <c r="A5" s="427" t="s">
        <v>3</v>
      </c>
      <c r="B5" s="260" t="s">
        <v>4</v>
      </c>
      <c r="C5" s="260" t="s">
        <v>5</v>
      </c>
      <c r="D5" s="260" t="s">
        <v>6</v>
      </c>
      <c r="E5" s="428" t="s">
        <v>7</v>
      </c>
      <c r="F5" s="260" t="s">
        <v>8</v>
      </c>
      <c r="G5" s="260" t="s">
        <v>9</v>
      </c>
      <c r="H5" s="429" t="s">
        <v>10</v>
      </c>
      <c r="I5" s="458" t="s">
        <v>11</v>
      </c>
      <c r="J5" s="459" t="s">
        <v>12</v>
      </c>
      <c r="K5" s="9"/>
    </row>
    <row r="6" ht="22.5" customHeight="1" spans="1:11">
      <c r="A6" s="430"/>
      <c r="B6" s="431" t="s">
        <v>13</v>
      </c>
      <c r="C6" s="432"/>
      <c r="D6" s="432"/>
      <c r="E6" s="432"/>
      <c r="F6" s="433"/>
      <c r="G6" s="434"/>
      <c r="H6" s="435"/>
      <c r="I6" s="460"/>
      <c r="J6" s="461">
        <v>658597.84</v>
      </c>
      <c r="K6" s="9"/>
    </row>
    <row r="7" ht="18" customHeight="1" spans="1:11">
      <c r="A7" s="436">
        <v>1</v>
      </c>
      <c r="B7" s="10" t="s">
        <v>14</v>
      </c>
      <c r="C7" s="6" t="s">
        <v>15</v>
      </c>
      <c r="D7" s="10"/>
      <c r="E7" s="10" t="s">
        <v>16</v>
      </c>
      <c r="F7" s="10" t="s">
        <v>17</v>
      </c>
      <c r="G7" s="437"/>
      <c r="H7" s="438">
        <v>113</v>
      </c>
      <c r="I7" s="462"/>
      <c r="J7" s="461">
        <f>J6+G7+H7-I7</f>
        <v>658710.84</v>
      </c>
      <c r="K7" s="9"/>
    </row>
    <row r="8" ht="18" customHeight="1" spans="1:11">
      <c r="A8" s="436">
        <v>2</v>
      </c>
      <c r="B8" s="10" t="s">
        <v>14</v>
      </c>
      <c r="C8" s="10" t="s">
        <v>18</v>
      </c>
      <c r="D8" s="10" t="s">
        <v>19</v>
      </c>
      <c r="E8" s="439" t="s">
        <v>20</v>
      </c>
      <c r="F8" s="10" t="s">
        <v>21</v>
      </c>
      <c r="G8" s="437"/>
      <c r="H8" s="438">
        <v>138</v>
      </c>
      <c r="I8" s="462"/>
      <c r="J8" s="461">
        <f t="shared" ref="J8:J71" si="0">J7+G8+H8-I8</f>
        <v>658848.84</v>
      </c>
      <c r="K8" s="9"/>
    </row>
    <row r="9" ht="18" customHeight="1" spans="1:11">
      <c r="A9" s="436">
        <v>3</v>
      </c>
      <c r="B9" s="10" t="s">
        <v>14</v>
      </c>
      <c r="C9" s="10" t="s">
        <v>22</v>
      </c>
      <c r="D9" s="10" t="s">
        <v>23</v>
      </c>
      <c r="E9" s="10" t="s">
        <v>24</v>
      </c>
      <c r="F9" s="10" t="s">
        <v>17</v>
      </c>
      <c r="G9" s="437"/>
      <c r="H9" s="438">
        <v>113</v>
      </c>
      <c r="I9" s="462"/>
      <c r="J9" s="461">
        <f t="shared" si="0"/>
        <v>658961.84</v>
      </c>
      <c r="K9" s="9"/>
    </row>
    <row r="10" ht="18" customHeight="1" spans="1:11">
      <c r="A10" s="436">
        <v>4</v>
      </c>
      <c r="B10" s="10" t="s">
        <v>25</v>
      </c>
      <c r="C10" s="14" t="s">
        <v>26</v>
      </c>
      <c r="D10" s="14" t="s">
        <v>27</v>
      </c>
      <c r="E10" s="10" t="s">
        <v>28</v>
      </c>
      <c r="F10" s="10" t="s">
        <v>29</v>
      </c>
      <c r="G10" s="437"/>
      <c r="H10" s="437">
        <v>68</v>
      </c>
      <c r="I10" s="463"/>
      <c r="J10" s="461">
        <f t="shared" si="0"/>
        <v>659029.84</v>
      </c>
      <c r="K10" s="9"/>
    </row>
    <row r="11" ht="18" customHeight="1" spans="1:11">
      <c r="A11" s="436">
        <v>5</v>
      </c>
      <c r="B11" s="10" t="s">
        <v>25</v>
      </c>
      <c r="C11" s="10" t="s">
        <v>30</v>
      </c>
      <c r="D11" s="10" t="s">
        <v>31</v>
      </c>
      <c r="E11" s="10" t="s">
        <v>32</v>
      </c>
      <c r="F11" s="10" t="s">
        <v>33</v>
      </c>
      <c r="G11" s="437"/>
      <c r="H11" s="437">
        <v>168</v>
      </c>
      <c r="I11" s="463"/>
      <c r="J11" s="461">
        <f t="shared" si="0"/>
        <v>659197.84</v>
      </c>
      <c r="K11" s="9"/>
    </row>
    <row r="12" ht="18" customHeight="1" spans="1:11">
      <c r="A12" s="436">
        <v>6</v>
      </c>
      <c r="B12" s="10" t="s">
        <v>25</v>
      </c>
      <c r="C12" s="10" t="s">
        <v>22</v>
      </c>
      <c r="D12" s="10" t="s">
        <v>23</v>
      </c>
      <c r="E12" s="10" t="s">
        <v>24</v>
      </c>
      <c r="F12" s="15" t="s">
        <v>34</v>
      </c>
      <c r="G12" s="437"/>
      <c r="H12" s="437">
        <v>126</v>
      </c>
      <c r="I12" s="463"/>
      <c r="J12" s="461">
        <f t="shared" si="0"/>
        <v>659323.84</v>
      </c>
      <c r="K12" s="9"/>
    </row>
    <row r="13" ht="18" customHeight="1" spans="1:11">
      <c r="A13" s="436">
        <v>7</v>
      </c>
      <c r="B13" s="10" t="s">
        <v>35</v>
      </c>
      <c r="C13" s="10"/>
      <c r="D13" s="440" t="s">
        <v>36</v>
      </c>
      <c r="E13" s="441"/>
      <c r="F13" s="442"/>
      <c r="G13" s="437"/>
      <c r="H13" s="437"/>
      <c r="I13" s="463">
        <v>5000</v>
      </c>
      <c r="J13" s="461">
        <f t="shared" si="0"/>
        <v>654323.84</v>
      </c>
      <c r="K13" s="9"/>
    </row>
    <row r="14" ht="18" customHeight="1" spans="1:11">
      <c r="A14" s="436">
        <v>8</v>
      </c>
      <c r="B14" s="10" t="s">
        <v>37</v>
      </c>
      <c r="C14" s="10" t="s">
        <v>38</v>
      </c>
      <c r="D14" s="10" t="s">
        <v>23</v>
      </c>
      <c r="E14" s="10" t="s">
        <v>39</v>
      </c>
      <c r="F14" s="15"/>
      <c r="G14" s="437">
        <v>1000</v>
      </c>
      <c r="H14" s="443"/>
      <c r="I14" s="464"/>
      <c r="J14" s="461">
        <f t="shared" si="0"/>
        <v>655323.84</v>
      </c>
      <c r="K14" s="9"/>
    </row>
    <row r="15" ht="18" customHeight="1" spans="1:11">
      <c r="A15" s="436">
        <v>9</v>
      </c>
      <c r="B15" s="10" t="s">
        <v>37</v>
      </c>
      <c r="C15" s="10"/>
      <c r="D15" s="440" t="s">
        <v>40</v>
      </c>
      <c r="E15" s="441"/>
      <c r="F15" s="442"/>
      <c r="G15" s="437"/>
      <c r="H15" s="443"/>
      <c r="I15" s="464">
        <v>3</v>
      </c>
      <c r="J15" s="461">
        <f t="shared" si="0"/>
        <v>655320.84</v>
      </c>
      <c r="K15" s="9"/>
    </row>
    <row r="16" ht="18" customHeight="1" spans="1:11">
      <c r="A16" s="436">
        <v>10</v>
      </c>
      <c r="B16" s="10" t="s">
        <v>41</v>
      </c>
      <c r="C16" s="10"/>
      <c r="D16" s="440" t="s">
        <v>42</v>
      </c>
      <c r="E16" s="441"/>
      <c r="F16" s="442"/>
      <c r="G16" s="437"/>
      <c r="H16" s="443"/>
      <c r="I16" s="464">
        <v>10</v>
      </c>
      <c r="J16" s="461">
        <f t="shared" si="0"/>
        <v>655310.84</v>
      </c>
      <c r="K16" s="9"/>
    </row>
    <row r="17" ht="18" customHeight="1" spans="1:11">
      <c r="A17" s="436">
        <v>11</v>
      </c>
      <c r="B17" s="10" t="s">
        <v>43</v>
      </c>
      <c r="C17" s="10" t="s">
        <v>44</v>
      </c>
      <c r="D17" s="10" t="s">
        <v>45</v>
      </c>
      <c r="E17" s="10" t="s">
        <v>46</v>
      </c>
      <c r="F17" s="15" t="s">
        <v>47</v>
      </c>
      <c r="G17" s="437"/>
      <c r="H17" s="443">
        <v>228</v>
      </c>
      <c r="I17" s="464"/>
      <c r="J17" s="461">
        <f t="shared" si="0"/>
        <v>655538.84</v>
      </c>
      <c r="K17" s="9"/>
    </row>
    <row r="18" ht="18" customHeight="1" spans="1:11">
      <c r="A18" s="436">
        <v>12</v>
      </c>
      <c r="B18" s="10" t="s">
        <v>43</v>
      </c>
      <c r="C18" s="10" t="s">
        <v>44</v>
      </c>
      <c r="D18" s="10" t="s">
        <v>45</v>
      </c>
      <c r="E18" s="10" t="s">
        <v>48</v>
      </c>
      <c r="F18" s="15" t="s">
        <v>47</v>
      </c>
      <c r="G18" s="437"/>
      <c r="H18" s="443">
        <v>168</v>
      </c>
      <c r="I18" s="464"/>
      <c r="J18" s="461">
        <f t="shared" si="0"/>
        <v>655706.84</v>
      </c>
      <c r="K18" s="9"/>
    </row>
    <row r="19" ht="18" customHeight="1" spans="1:11">
      <c r="A19" s="436">
        <v>13</v>
      </c>
      <c r="B19" s="10" t="s">
        <v>43</v>
      </c>
      <c r="C19" s="10" t="s">
        <v>44</v>
      </c>
      <c r="D19" s="10" t="s">
        <v>45</v>
      </c>
      <c r="E19" s="10" t="s">
        <v>49</v>
      </c>
      <c r="F19" s="15" t="s">
        <v>47</v>
      </c>
      <c r="G19" s="437"/>
      <c r="H19" s="443">
        <v>198</v>
      </c>
      <c r="I19" s="464"/>
      <c r="J19" s="461">
        <f t="shared" si="0"/>
        <v>655904.84</v>
      </c>
      <c r="K19" s="9"/>
    </row>
    <row r="20" ht="18" customHeight="1" spans="1:11">
      <c r="A20" s="436">
        <v>14</v>
      </c>
      <c r="B20" s="10" t="s">
        <v>50</v>
      </c>
      <c r="C20" s="10"/>
      <c r="D20" s="444" t="s">
        <v>51</v>
      </c>
      <c r="E20" s="445"/>
      <c r="F20" s="446"/>
      <c r="G20" s="437"/>
      <c r="H20" s="443"/>
      <c r="I20" s="464">
        <v>239</v>
      </c>
      <c r="J20" s="461">
        <f t="shared" si="0"/>
        <v>655665.84</v>
      </c>
      <c r="K20" s="9"/>
    </row>
    <row r="21" ht="18" customHeight="1" spans="1:11">
      <c r="A21" s="436">
        <v>15</v>
      </c>
      <c r="B21" s="10" t="s">
        <v>52</v>
      </c>
      <c r="C21" s="10"/>
      <c r="D21" s="444" t="s">
        <v>53</v>
      </c>
      <c r="E21" s="445"/>
      <c r="F21" s="446"/>
      <c r="G21" s="437"/>
      <c r="H21" s="443"/>
      <c r="I21" s="464">
        <v>200</v>
      </c>
      <c r="J21" s="461">
        <f t="shared" si="0"/>
        <v>655465.84</v>
      </c>
      <c r="K21" s="9"/>
    </row>
    <row r="22" ht="18" customHeight="1" spans="1:11">
      <c r="A22" s="436">
        <v>16</v>
      </c>
      <c r="B22" s="10" t="s">
        <v>52</v>
      </c>
      <c r="C22" s="10" t="s">
        <v>54</v>
      </c>
      <c r="D22" s="10"/>
      <c r="E22" s="439" t="s">
        <v>55</v>
      </c>
      <c r="F22" s="15" t="s">
        <v>56</v>
      </c>
      <c r="G22" s="437"/>
      <c r="H22" s="443">
        <v>138</v>
      </c>
      <c r="I22" s="464"/>
      <c r="J22" s="461">
        <f t="shared" si="0"/>
        <v>655603.84</v>
      </c>
      <c r="K22" s="9"/>
    </row>
    <row r="23" ht="18" customHeight="1" spans="1:11">
      <c r="A23" s="436">
        <v>17</v>
      </c>
      <c r="B23" s="10" t="s">
        <v>52</v>
      </c>
      <c r="C23" s="10" t="s">
        <v>30</v>
      </c>
      <c r="D23" s="10" t="s">
        <v>31</v>
      </c>
      <c r="E23" s="439" t="s">
        <v>57</v>
      </c>
      <c r="F23" s="15" t="s">
        <v>21</v>
      </c>
      <c r="G23" s="437"/>
      <c r="H23" s="437">
        <v>168</v>
      </c>
      <c r="I23" s="463"/>
      <c r="J23" s="461">
        <f t="shared" si="0"/>
        <v>655771.84</v>
      </c>
      <c r="K23" s="9"/>
    </row>
    <row r="24" ht="18" customHeight="1" spans="1:11">
      <c r="A24" s="436">
        <v>18</v>
      </c>
      <c r="B24" s="10" t="s">
        <v>52</v>
      </c>
      <c r="C24" s="10" t="s">
        <v>22</v>
      </c>
      <c r="D24" s="6" t="s">
        <v>23</v>
      </c>
      <c r="E24" s="10" t="s">
        <v>24</v>
      </c>
      <c r="F24" s="6" t="s">
        <v>58</v>
      </c>
      <c r="G24" s="437"/>
      <c r="H24" s="437">
        <v>108</v>
      </c>
      <c r="I24" s="463"/>
      <c r="J24" s="461">
        <f t="shared" si="0"/>
        <v>655879.84</v>
      </c>
      <c r="K24" s="9"/>
    </row>
    <row r="25" ht="37.8" customHeight="1" spans="1:11">
      <c r="A25" s="436">
        <v>19</v>
      </c>
      <c r="B25" s="10" t="s">
        <v>59</v>
      </c>
      <c r="C25" s="10"/>
      <c r="D25" s="447" t="s">
        <v>60</v>
      </c>
      <c r="E25" s="448"/>
      <c r="F25" s="449"/>
      <c r="G25" s="437"/>
      <c r="H25" s="437"/>
      <c r="I25" s="463">
        <v>24884</v>
      </c>
      <c r="J25" s="461">
        <f t="shared" si="0"/>
        <v>630995.84</v>
      </c>
      <c r="K25" s="9"/>
    </row>
    <row r="26" ht="18" customHeight="1" spans="1:11">
      <c r="A26" s="436">
        <v>20</v>
      </c>
      <c r="B26" s="10" t="s">
        <v>61</v>
      </c>
      <c r="C26" s="10"/>
      <c r="D26" s="447" t="s">
        <v>62</v>
      </c>
      <c r="E26" s="448"/>
      <c r="F26" s="449"/>
      <c r="G26" s="437"/>
      <c r="H26" s="437"/>
      <c r="I26" s="463"/>
      <c r="J26" s="461">
        <f t="shared" si="0"/>
        <v>630995.84</v>
      </c>
      <c r="K26" s="9"/>
    </row>
    <row r="27" ht="18" customHeight="1" spans="1:11">
      <c r="A27" s="436">
        <v>21</v>
      </c>
      <c r="B27" s="10" t="s">
        <v>63</v>
      </c>
      <c r="C27" s="10"/>
      <c r="D27" s="450" t="s">
        <v>64</v>
      </c>
      <c r="E27" s="451"/>
      <c r="F27" s="452"/>
      <c r="G27" s="437"/>
      <c r="H27" s="437"/>
      <c r="I27" s="463">
        <v>10</v>
      </c>
      <c r="J27" s="461">
        <f t="shared" si="0"/>
        <v>630985.84</v>
      </c>
      <c r="K27" s="9"/>
    </row>
    <row r="28" ht="18" customHeight="1" spans="1:11">
      <c r="A28" s="436">
        <v>22</v>
      </c>
      <c r="B28" s="10" t="s">
        <v>65</v>
      </c>
      <c r="C28" s="10" t="s">
        <v>66</v>
      </c>
      <c r="D28" s="6"/>
      <c r="E28" s="6" t="s">
        <v>67</v>
      </c>
      <c r="F28" s="6" t="s">
        <v>68</v>
      </c>
      <c r="G28" s="437"/>
      <c r="H28" s="437">
        <v>100</v>
      </c>
      <c r="I28" s="463"/>
      <c r="J28" s="461">
        <f t="shared" si="0"/>
        <v>631085.84</v>
      </c>
      <c r="K28" s="9"/>
    </row>
    <row r="29" ht="18" customHeight="1" spans="1:11">
      <c r="A29" s="436">
        <v>23</v>
      </c>
      <c r="B29" s="10" t="s">
        <v>65</v>
      </c>
      <c r="C29" s="10" t="s">
        <v>30</v>
      </c>
      <c r="D29" s="6" t="s">
        <v>31</v>
      </c>
      <c r="E29" s="6" t="s">
        <v>69</v>
      </c>
      <c r="F29" s="6" t="s">
        <v>70</v>
      </c>
      <c r="G29" s="437"/>
      <c r="H29" s="437">
        <v>208</v>
      </c>
      <c r="I29" s="463"/>
      <c r="J29" s="461">
        <f t="shared" si="0"/>
        <v>631293.84</v>
      </c>
      <c r="K29" s="9"/>
    </row>
    <row r="30" ht="18" customHeight="1" spans="1:11">
      <c r="A30" s="436">
        <v>24</v>
      </c>
      <c r="B30" s="10" t="s">
        <v>65</v>
      </c>
      <c r="C30" s="10" t="s">
        <v>22</v>
      </c>
      <c r="D30" s="6" t="s">
        <v>23</v>
      </c>
      <c r="E30" s="10" t="s">
        <v>24</v>
      </c>
      <c r="F30" s="6" t="s">
        <v>70</v>
      </c>
      <c r="G30" s="437"/>
      <c r="H30" s="437">
        <v>138</v>
      </c>
      <c r="I30" s="463"/>
      <c r="J30" s="461">
        <f t="shared" si="0"/>
        <v>631431.84</v>
      </c>
      <c r="K30" s="9"/>
    </row>
    <row r="31" ht="18" customHeight="1" spans="1:11">
      <c r="A31" s="436">
        <v>25</v>
      </c>
      <c r="B31" s="10" t="s">
        <v>71</v>
      </c>
      <c r="C31" s="10"/>
      <c r="D31" s="447" t="s">
        <v>72</v>
      </c>
      <c r="E31" s="448"/>
      <c r="F31" s="449"/>
      <c r="G31" s="437"/>
      <c r="H31" s="437"/>
      <c r="I31" s="463">
        <v>80</v>
      </c>
      <c r="J31" s="461">
        <f t="shared" si="0"/>
        <v>631351.84</v>
      </c>
      <c r="K31" s="9"/>
    </row>
    <row r="32" ht="18" customHeight="1" spans="1:11">
      <c r="A32" s="436">
        <v>26</v>
      </c>
      <c r="B32" s="10" t="s">
        <v>71</v>
      </c>
      <c r="C32" s="10"/>
      <c r="D32" s="440" t="s">
        <v>73</v>
      </c>
      <c r="E32" s="441"/>
      <c r="F32" s="442"/>
      <c r="G32" s="437"/>
      <c r="H32" s="437"/>
      <c r="I32" s="463">
        <v>61800</v>
      </c>
      <c r="J32" s="461">
        <f t="shared" si="0"/>
        <v>569551.84</v>
      </c>
      <c r="K32" s="9"/>
    </row>
    <row r="33" ht="18" customHeight="1" spans="1:11">
      <c r="A33" s="436">
        <v>27</v>
      </c>
      <c r="B33" s="10" t="s">
        <v>74</v>
      </c>
      <c r="C33" s="10"/>
      <c r="D33" s="440" t="s">
        <v>75</v>
      </c>
      <c r="E33" s="441"/>
      <c r="F33" s="442"/>
      <c r="G33" s="437"/>
      <c r="H33" s="437"/>
      <c r="I33" s="463">
        <v>2000</v>
      </c>
      <c r="J33" s="461">
        <f t="shared" si="0"/>
        <v>567551.84</v>
      </c>
      <c r="K33" s="9"/>
    </row>
    <row r="34" ht="18" customHeight="1" spans="1:11">
      <c r="A34" s="436">
        <v>28</v>
      </c>
      <c r="B34" s="10" t="s">
        <v>74</v>
      </c>
      <c r="C34" s="10"/>
      <c r="D34" s="440" t="s">
        <v>76</v>
      </c>
      <c r="E34" s="441"/>
      <c r="F34" s="442"/>
      <c r="G34" s="437"/>
      <c r="H34" s="437"/>
      <c r="I34" s="463">
        <v>5000</v>
      </c>
      <c r="J34" s="461">
        <f t="shared" si="0"/>
        <v>562551.84</v>
      </c>
      <c r="K34" s="9"/>
    </row>
    <row r="35" ht="18" customHeight="1" spans="1:11">
      <c r="A35" s="436">
        <v>29</v>
      </c>
      <c r="B35" s="10" t="s">
        <v>74</v>
      </c>
      <c r="C35" s="10" t="s">
        <v>77</v>
      </c>
      <c r="D35" s="10" t="s">
        <v>78</v>
      </c>
      <c r="E35" s="6" t="s">
        <v>79</v>
      </c>
      <c r="F35" s="10" t="s">
        <v>80</v>
      </c>
      <c r="G35" s="437"/>
      <c r="H35" s="437">
        <v>388</v>
      </c>
      <c r="I35" s="463"/>
      <c r="J35" s="461">
        <f t="shared" si="0"/>
        <v>562939.84</v>
      </c>
      <c r="K35" s="9"/>
    </row>
    <row r="36" ht="18" customHeight="1" spans="1:11">
      <c r="A36" s="436">
        <v>30</v>
      </c>
      <c r="B36" s="10" t="s">
        <v>74</v>
      </c>
      <c r="C36" s="10" t="s">
        <v>30</v>
      </c>
      <c r="D36" s="6" t="s">
        <v>31</v>
      </c>
      <c r="E36" s="6" t="s">
        <v>69</v>
      </c>
      <c r="F36" s="10" t="s">
        <v>81</v>
      </c>
      <c r="G36" s="437"/>
      <c r="H36" s="437">
        <v>198</v>
      </c>
      <c r="I36" s="463"/>
      <c r="J36" s="461">
        <f t="shared" si="0"/>
        <v>563137.84</v>
      </c>
      <c r="K36" s="9"/>
    </row>
    <row r="37" ht="18" customHeight="1" spans="1:11">
      <c r="A37" s="436">
        <v>31</v>
      </c>
      <c r="B37" s="10" t="s">
        <v>82</v>
      </c>
      <c r="C37" s="10"/>
      <c r="D37" s="453" t="s">
        <v>83</v>
      </c>
      <c r="E37" s="454"/>
      <c r="F37" s="455"/>
      <c r="G37" s="437"/>
      <c r="H37" s="437"/>
      <c r="I37" s="463">
        <v>45</v>
      </c>
      <c r="J37" s="461">
        <f t="shared" si="0"/>
        <v>563092.84</v>
      </c>
      <c r="K37" s="9"/>
    </row>
    <row r="38" ht="18" customHeight="1" spans="1:11">
      <c r="A38" s="436">
        <v>32</v>
      </c>
      <c r="B38" s="10" t="s">
        <v>84</v>
      </c>
      <c r="C38" s="10"/>
      <c r="D38" s="453" t="s">
        <v>85</v>
      </c>
      <c r="E38" s="454"/>
      <c r="F38" s="455"/>
      <c r="G38" s="437"/>
      <c r="H38" s="437"/>
      <c r="I38" s="463">
        <v>10000</v>
      </c>
      <c r="J38" s="461">
        <f t="shared" si="0"/>
        <v>553092.84</v>
      </c>
      <c r="K38" s="9"/>
    </row>
    <row r="39" ht="18" customHeight="1" spans="1:11">
      <c r="A39" s="436">
        <v>33</v>
      </c>
      <c r="B39" s="10" t="s">
        <v>86</v>
      </c>
      <c r="C39" s="10" t="s">
        <v>87</v>
      </c>
      <c r="D39" s="456" t="s">
        <v>88</v>
      </c>
      <c r="E39" s="6" t="s">
        <v>39</v>
      </c>
      <c r="F39" s="10"/>
      <c r="G39" s="437">
        <v>200</v>
      </c>
      <c r="H39" s="437"/>
      <c r="I39" s="463"/>
      <c r="J39" s="461">
        <f t="shared" si="0"/>
        <v>553292.84</v>
      </c>
      <c r="K39" s="9"/>
    </row>
    <row r="40" ht="18" customHeight="1" spans="1:11">
      <c r="A40" s="436">
        <v>34</v>
      </c>
      <c r="B40" s="10" t="s">
        <v>89</v>
      </c>
      <c r="C40" s="10"/>
      <c r="D40" s="440" t="s">
        <v>40</v>
      </c>
      <c r="E40" s="441"/>
      <c r="F40" s="442"/>
      <c r="G40" s="437"/>
      <c r="H40" s="437"/>
      <c r="I40" s="463">
        <v>3</v>
      </c>
      <c r="J40" s="461">
        <f t="shared" si="0"/>
        <v>553289.84</v>
      </c>
      <c r="K40" s="9"/>
    </row>
    <row r="41" ht="18" customHeight="1" spans="1:11">
      <c r="A41" s="436">
        <v>35</v>
      </c>
      <c r="B41" s="10" t="s">
        <v>90</v>
      </c>
      <c r="C41" s="10" t="s">
        <v>91</v>
      </c>
      <c r="D41" s="456" t="s">
        <v>92</v>
      </c>
      <c r="E41" s="6" t="s">
        <v>39</v>
      </c>
      <c r="F41" s="10"/>
      <c r="G41" s="437">
        <v>388</v>
      </c>
      <c r="H41" s="437"/>
      <c r="I41" s="463"/>
      <c r="J41" s="461">
        <f t="shared" si="0"/>
        <v>553677.84</v>
      </c>
      <c r="K41" s="9"/>
    </row>
    <row r="42" ht="18" customHeight="1" spans="1:11">
      <c r="A42" s="436">
        <v>36</v>
      </c>
      <c r="B42" s="10" t="s">
        <v>93</v>
      </c>
      <c r="C42" s="10" t="s">
        <v>94</v>
      </c>
      <c r="D42" s="456" t="s">
        <v>95</v>
      </c>
      <c r="E42" s="6" t="s">
        <v>39</v>
      </c>
      <c r="F42" s="10"/>
      <c r="G42" s="437">
        <v>200</v>
      </c>
      <c r="H42" s="437"/>
      <c r="I42" s="463"/>
      <c r="J42" s="461">
        <f t="shared" si="0"/>
        <v>553877.84</v>
      </c>
      <c r="K42" s="9"/>
    </row>
    <row r="43" ht="18" customHeight="1" spans="1:11">
      <c r="A43" s="436">
        <v>37</v>
      </c>
      <c r="B43" s="10" t="s">
        <v>93</v>
      </c>
      <c r="C43" s="10" t="s">
        <v>96</v>
      </c>
      <c r="D43" s="456" t="s">
        <v>97</v>
      </c>
      <c r="E43" s="6" t="s">
        <v>39</v>
      </c>
      <c r="F43" s="10"/>
      <c r="G43" s="437">
        <v>88</v>
      </c>
      <c r="H43" s="437"/>
      <c r="I43" s="463"/>
      <c r="J43" s="461">
        <f t="shared" si="0"/>
        <v>553965.84</v>
      </c>
      <c r="K43" s="9"/>
    </row>
    <row r="44" ht="18" customHeight="1" spans="1:11">
      <c r="A44" s="436">
        <v>38</v>
      </c>
      <c r="B44" s="10" t="s">
        <v>93</v>
      </c>
      <c r="C44" s="10" t="s">
        <v>98</v>
      </c>
      <c r="D44" s="456"/>
      <c r="E44" s="6" t="s">
        <v>39</v>
      </c>
      <c r="F44" s="10"/>
      <c r="G44" s="437">
        <v>1000</v>
      </c>
      <c r="H44" s="437"/>
      <c r="I44" s="463"/>
      <c r="J44" s="461">
        <f t="shared" si="0"/>
        <v>554965.84</v>
      </c>
      <c r="K44" s="9"/>
    </row>
    <row r="45" ht="18" customHeight="1" spans="1:11">
      <c r="A45" s="436">
        <v>39</v>
      </c>
      <c r="B45" s="10" t="s">
        <v>93</v>
      </c>
      <c r="C45" s="10" t="s">
        <v>99</v>
      </c>
      <c r="D45" s="456" t="s">
        <v>97</v>
      </c>
      <c r="E45" s="6" t="s">
        <v>39</v>
      </c>
      <c r="F45" s="10"/>
      <c r="G45" s="437">
        <v>1368.88</v>
      </c>
      <c r="H45" s="437"/>
      <c r="I45" s="463"/>
      <c r="J45" s="461">
        <f t="shared" si="0"/>
        <v>556334.72</v>
      </c>
      <c r="K45" s="9"/>
    </row>
    <row r="46" ht="18" customHeight="1" spans="1:11">
      <c r="A46" s="436">
        <v>40</v>
      </c>
      <c r="B46" s="10" t="s">
        <v>93</v>
      </c>
      <c r="C46" s="10" t="s">
        <v>22</v>
      </c>
      <c r="D46" s="456" t="s">
        <v>23</v>
      </c>
      <c r="E46" s="6" t="s">
        <v>39</v>
      </c>
      <c r="F46" s="10"/>
      <c r="G46" s="437">
        <v>1008</v>
      </c>
      <c r="H46" s="437"/>
      <c r="I46" s="463"/>
      <c r="J46" s="461">
        <f t="shared" si="0"/>
        <v>557342.72</v>
      </c>
      <c r="K46" s="9"/>
    </row>
    <row r="47" ht="18" customHeight="1" spans="1:11">
      <c r="A47" s="436">
        <v>41</v>
      </c>
      <c r="B47" s="10" t="s">
        <v>93</v>
      </c>
      <c r="C47" s="10" t="s">
        <v>26</v>
      </c>
      <c r="D47" s="456" t="s">
        <v>27</v>
      </c>
      <c r="E47" s="6" t="s">
        <v>39</v>
      </c>
      <c r="F47" s="10"/>
      <c r="G47" s="437">
        <v>500</v>
      </c>
      <c r="H47" s="437"/>
      <c r="I47" s="463"/>
      <c r="J47" s="461">
        <f t="shared" si="0"/>
        <v>557842.72</v>
      </c>
      <c r="K47" s="9"/>
    </row>
    <row r="48" ht="18" customHeight="1" spans="1:11">
      <c r="A48" s="436">
        <v>42</v>
      </c>
      <c r="B48" s="10" t="s">
        <v>93</v>
      </c>
      <c r="C48" s="10" t="s">
        <v>100</v>
      </c>
      <c r="D48" s="10"/>
      <c r="E48" s="6" t="s">
        <v>39</v>
      </c>
      <c r="F48" s="10"/>
      <c r="G48" s="437">
        <v>200</v>
      </c>
      <c r="H48" s="437"/>
      <c r="I48" s="463"/>
      <c r="J48" s="461">
        <f t="shared" si="0"/>
        <v>558042.72</v>
      </c>
      <c r="K48" s="9"/>
    </row>
    <row r="49" ht="18" customHeight="1" spans="1:11">
      <c r="A49" s="436">
        <v>43</v>
      </c>
      <c r="B49" s="10" t="s">
        <v>101</v>
      </c>
      <c r="C49" s="10" t="s">
        <v>102</v>
      </c>
      <c r="D49" s="10" t="s">
        <v>23</v>
      </c>
      <c r="E49" s="6" t="s">
        <v>39</v>
      </c>
      <c r="F49" s="10"/>
      <c r="G49" s="437">
        <v>2000</v>
      </c>
      <c r="H49" s="437"/>
      <c r="I49" s="463"/>
      <c r="J49" s="461">
        <f t="shared" si="0"/>
        <v>560042.72</v>
      </c>
      <c r="K49" s="9"/>
    </row>
    <row r="50" ht="18" customHeight="1" spans="1:11">
      <c r="A50" s="436">
        <v>44</v>
      </c>
      <c r="B50" s="10" t="s">
        <v>103</v>
      </c>
      <c r="C50" s="10" t="s">
        <v>91</v>
      </c>
      <c r="D50" s="10" t="s">
        <v>92</v>
      </c>
      <c r="E50" s="6" t="s">
        <v>67</v>
      </c>
      <c r="F50" s="10" t="s">
        <v>80</v>
      </c>
      <c r="G50" s="437"/>
      <c r="H50" s="437">
        <v>88</v>
      </c>
      <c r="I50" s="463"/>
      <c r="J50" s="461">
        <f t="shared" si="0"/>
        <v>560130.72</v>
      </c>
      <c r="K50" s="9"/>
    </row>
    <row r="51" ht="18" customHeight="1" spans="1:11">
      <c r="A51" s="436">
        <v>45</v>
      </c>
      <c r="B51" s="10" t="s">
        <v>103</v>
      </c>
      <c r="C51" s="10" t="s">
        <v>30</v>
      </c>
      <c r="D51" s="6" t="s">
        <v>31</v>
      </c>
      <c r="E51" s="6" t="s">
        <v>69</v>
      </c>
      <c r="F51" s="10" t="s">
        <v>104</v>
      </c>
      <c r="G51" s="437"/>
      <c r="H51" s="437">
        <v>198</v>
      </c>
      <c r="I51" s="463"/>
      <c r="J51" s="461">
        <f t="shared" si="0"/>
        <v>560328.72</v>
      </c>
      <c r="K51" s="9"/>
    </row>
    <row r="52" ht="18" customHeight="1" spans="1:11">
      <c r="A52" s="436">
        <v>46</v>
      </c>
      <c r="B52" s="10" t="s">
        <v>105</v>
      </c>
      <c r="C52" s="10" t="s">
        <v>91</v>
      </c>
      <c r="D52" s="10" t="s">
        <v>92</v>
      </c>
      <c r="E52" s="6" t="s">
        <v>67</v>
      </c>
      <c r="F52" s="10" t="s">
        <v>106</v>
      </c>
      <c r="G52" s="437"/>
      <c r="H52" s="437">
        <v>88</v>
      </c>
      <c r="I52" s="463"/>
      <c r="J52" s="461">
        <f t="shared" si="0"/>
        <v>560416.72</v>
      </c>
      <c r="K52" s="9"/>
    </row>
    <row r="53" ht="18" customHeight="1" spans="1:11">
      <c r="A53" s="436">
        <v>47</v>
      </c>
      <c r="B53" s="10" t="s">
        <v>105</v>
      </c>
      <c r="C53" s="10" t="s">
        <v>107</v>
      </c>
      <c r="D53" s="6"/>
      <c r="E53" s="6" t="s">
        <v>69</v>
      </c>
      <c r="F53" s="10" t="s">
        <v>108</v>
      </c>
      <c r="G53" s="437"/>
      <c r="H53" s="437">
        <v>178</v>
      </c>
      <c r="I53" s="463"/>
      <c r="J53" s="461">
        <f t="shared" si="0"/>
        <v>560594.72</v>
      </c>
      <c r="K53" s="9"/>
    </row>
    <row r="54" ht="18" customHeight="1" spans="1:11">
      <c r="A54" s="436">
        <v>48</v>
      </c>
      <c r="B54" s="10" t="s">
        <v>109</v>
      </c>
      <c r="C54" s="10" t="s">
        <v>110</v>
      </c>
      <c r="D54" s="10" t="s">
        <v>111</v>
      </c>
      <c r="E54" s="6" t="s">
        <v>39</v>
      </c>
      <c r="F54" s="10"/>
      <c r="G54" s="437">
        <v>300</v>
      </c>
      <c r="H54" s="437"/>
      <c r="I54" s="463"/>
      <c r="J54" s="461">
        <f t="shared" si="0"/>
        <v>560894.72</v>
      </c>
      <c r="K54" s="9"/>
    </row>
    <row r="55" ht="18" customHeight="1" spans="1:11">
      <c r="A55" s="436">
        <v>49</v>
      </c>
      <c r="B55" s="10" t="s">
        <v>109</v>
      </c>
      <c r="C55" s="10"/>
      <c r="D55" s="440" t="s">
        <v>40</v>
      </c>
      <c r="E55" s="441"/>
      <c r="F55" s="442"/>
      <c r="G55" s="437"/>
      <c r="H55" s="437"/>
      <c r="I55" s="463">
        <v>3</v>
      </c>
      <c r="J55" s="461">
        <f t="shared" si="0"/>
        <v>560891.72</v>
      </c>
      <c r="K55" s="9"/>
    </row>
    <row r="56" ht="18" customHeight="1" spans="1:11">
      <c r="A56" s="436">
        <v>50</v>
      </c>
      <c r="B56" s="10" t="s">
        <v>109</v>
      </c>
      <c r="C56" s="10" t="s">
        <v>91</v>
      </c>
      <c r="D56" s="10" t="s">
        <v>92</v>
      </c>
      <c r="E56" s="6" t="s">
        <v>67</v>
      </c>
      <c r="F56" s="10" t="s">
        <v>81</v>
      </c>
      <c r="G56" s="437"/>
      <c r="H56" s="437">
        <v>128</v>
      </c>
      <c r="I56" s="463"/>
      <c r="J56" s="461">
        <f t="shared" si="0"/>
        <v>561019.72</v>
      </c>
      <c r="K56" s="9"/>
    </row>
    <row r="57" ht="18" customHeight="1" spans="1:11">
      <c r="A57" s="436">
        <v>51</v>
      </c>
      <c r="B57" s="10" t="s">
        <v>109</v>
      </c>
      <c r="C57" s="10" t="s">
        <v>112</v>
      </c>
      <c r="D57" s="10"/>
      <c r="E57" s="6" t="s">
        <v>113</v>
      </c>
      <c r="F57" s="10" t="s">
        <v>81</v>
      </c>
      <c r="G57" s="437"/>
      <c r="H57" s="437">
        <v>128</v>
      </c>
      <c r="I57" s="463"/>
      <c r="J57" s="461">
        <f t="shared" si="0"/>
        <v>561147.72</v>
      </c>
      <c r="K57" s="9"/>
    </row>
    <row r="58" ht="18" customHeight="1" spans="1:11">
      <c r="A58" s="436">
        <v>52</v>
      </c>
      <c r="B58" s="10" t="s">
        <v>114</v>
      </c>
      <c r="C58" s="10" t="s">
        <v>107</v>
      </c>
      <c r="D58" s="10"/>
      <c r="E58" s="6" t="s">
        <v>67</v>
      </c>
      <c r="F58" s="10" t="s">
        <v>29</v>
      </c>
      <c r="G58" s="437"/>
      <c r="H58" s="437">
        <v>108</v>
      </c>
      <c r="I58" s="463"/>
      <c r="J58" s="461">
        <f t="shared" si="0"/>
        <v>561255.72</v>
      </c>
      <c r="K58" s="9"/>
    </row>
    <row r="59" ht="18" customHeight="1" spans="1:11">
      <c r="A59" s="436">
        <v>53</v>
      </c>
      <c r="B59" s="10" t="s">
        <v>114</v>
      </c>
      <c r="C59" s="10" t="s">
        <v>107</v>
      </c>
      <c r="D59" s="10"/>
      <c r="E59" s="6" t="s">
        <v>113</v>
      </c>
      <c r="F59" s="10" t="s">
        <v>29</v>
      </c>
      <c r="G59" s="437"/>
      <c r="H59" s="437">
        <v>108</v>
      </c>
      <c r="I59" s="463"/>
      <c r="J59" s="461">
        <f t="shared" si="0"/>
        <v>561363.72</v>
      </c>
      <c r="K59" s="9"/>
    </row>
    <row r="60" ht="18" customHeight="1" spans="1:11">
      <c r="A60" s="436">
        <v>54</v>
      </c>
      <c r="B60" s="10" t="s">
        <v>115</v>
      </c>
      <c r="C60" s="10" t="s">
        <v>116</v>
      </c>
      <c r="D60" s="10"/>
      <c r="E60" s="6" t="s">
        <v>117</v>
      </c>
      <c r="F60" s="10" t="s">
        <v>81</v>
      </c>
      <c r="G60" s="437"/>
      <c r="H60" s="437">
        <v>128</v>
      </c>
      <c r="I60" s="463"/>
      <c r="J60" s="461">
        <f t="shared" si="0"/>
        <v>561491.72</v>
      </c>
      <c r="K60" s="9"/>
    </row>
    <row r="61" ht="18" customHeight="1" spans="1:11">
      <c r="A61" s="436">
        <v>55</v>
      </c>
      <c r="B61" s="10" t="s">
        <v>115</v>
      </c>
      <c r="C61" s="10" t="s">
        <v>18</v>
      </c>
      <c r="D61" s="10" t="s">
        <v>19</v>
      </c>
      <c r="E61" s="439" t="s">
        <v>20</v>
      </c>
      <c r="F61" s="10" t="s">
        <v>118</v>
      </c>
      <c r="G61" s="437"/>
      <c r="H61" s="437">
        <v>88</v>
      </c>
      <c r="I61" s="463"/>
      <c r="J61" s="461">
        <f t="shared" si="0"/>
        <v>561579.72</v>
      </c>
      <c r="K61" s="9"/>
    </row>
    <row r="62" ht="18" customHeight="1" spans="1:11">
      <c r="A62" s="436">
        <v>56</v>
      </c>
      <c r="B62" s="10" t="s">
        <v>119</v>
      </c>
      <c r="C62" s="10" t="s">
        <v>120</v>
      </c>
      <c r="D62" s="10" t="s">
        <v>121</v>
      </c>
      <c r="E62" s="6" t="s">
        <v>122</v>
      </c>
      <c r="F62" s="10" t="s">
        <v>123</v>
      </c>
      <c r="G62" s="437"/>
      <c r="H62" s="437">
        <v>158</v>
      </c>
      <c r="I62" s="463"/>
      <c r="J62" s="461">
        <f t="shared" si="0"/>
        <v>561737.72</v>
      </c>
      <c r="K62" s="9"/>
    </row>
    <row r="63" ht="18" customHeight="1" spans="1:11">
      <c r="A63" s="436">
        <v>57</v>
      </c>
      <c r="B63" s="10" t="s">
        <v>119</v>
      </c>
      <c r="C63" s="10" t="s">
        <v>18</v>
      </c>
      <c r="D63" s="10" t="s">
        <v>19</v>
      </c>
      <c r="E63" s="439" t="s">
        <v>20</v>
      </c>
      <c r="F63" s="10" t="s">
        <v>124</v>
      </c>
      <c r="G63" s="437"/>
      <c r="H63" s="437">
        <v>118</v>
      </c>
      <c r="I63" s="463"/>
      <c r="J63" s="461">
        <f t="shared" si="0"/>
        <v>561855.72</v>
      </c>
      <c r="K63" s="9"/>
    </row>
    <row r="64" ht="18" customHeight="1" spans="1:11">
      <c r="A64" s="436">
        <v>58</v>
      </c>
      <c r="B64" s="10" t="s">
        <v>125</v>
      </c>
      <c r="C64" s="10" t="s">
        <v>126</v>
      </c>
      <c r="D64" s="10" t="s">
        <v>78</v>
      </c>
      <c r="E64" s="6" t="s">
        <v>39</v>
      </c>
      <c r="F64" s="10"/>
      <c r="G64" s="437">
        <v>1000</v>
      </c>
      <c r="H64" s="437"/>
      <c r="I64" s="463"/>
      <c r="J64" s="461">
        <f t="shared" si="0"/>
        <v>562855.72</v>
      </c>
      <c r="K64" s="9"/>
    </row>
    <row r="65" ht="18" customHeight="1" spans="1:11">
      <c r="A65" s="436">
        <v>59</v>
      </c>
      <c r="B65" s="10" t="s">
        <v>125</v>
      </c>
      <c r="C65" s="10" t="s">
        <v>127</v>
      </c>
      <c r="D65" s="10" t="s">
        <v>92</v>
      </c>
      <c r="E65" s="6" t="s">
        <v>39</v>
      </c>
      <c r="F65" s="10"/>
      <c r="G65" s="437">
        <v>1000</v>
      </c>
      <c r="H65" s="437"/>
      <c r="I65" s="463"/>
      <c r="J65" s="461">
        <f t="shared" si="0"/>
        <v>563855.72</v>
      </c>
      <c r="K65" s="9"/>
    </row>
    <row r="66" ht="18" customHeight="1" spans="1:11">
      <c r="A66" s="436">
        <v>60</v>
      </c>
      <c r="B66" s="10" t="s">
        <v>128</v>
      </c>
      <c r="C66" s="10" t="s">
        <v>91</v>
      </c>
      <c r="D66" s="10" t="s">
        <v>92</v>
      </c>
      <c r="E66" s="6" t="s">
        <v>67</v>
      </c>
      <c r="F66" s="10" t="s">
        <v>129</v>
      </c>
      <c r="G66" s="437"/>
      <c r="H66" s="437">
        <v>68</v>
      </c>
      <c r="I66" s="463"/>
      <c r="J66" s="461">
        <f t="shared" si="0"/>
        <v>563923.72</v>
      </c>
      <c r="K66" s="9"/>
    </row>
    <row r="67" ht="18" customHeight="1" spans="1:11">
      <c r="A67" s="436">
        <v>61</v>
      </c>
      <c r="B67" s="10" t="s">
        <v>128</v>
      </c>
      <c r="C67" s="10" t="s">
        <v>18</v>
      </c>
      <c r="D67" s="10" t="s">
        <v>19</v>
      </c>
      <c r="E67" s="439" t="s">
        <v>20</v>
      </c>
      <c r="F67" s="10" t="s">
        <v>130</v>
      </c>
      <c r="G67" s="437"/>
      <c r="H67" s="437">
        <v>168</v>
      </c>
      <c r="I67" s="463"/>
      <c r="J67" s="461">
        <f t="shared" si="0"/>
        <v>564091.72</v>
      </c>
      <c r="K67" s="9"/>
    </row>
    <row r="68" ht="18" customHeight="1" spans="1:11">
      <c r="A68" s="436">
        <v>62</v>
      </c>
      <c r="B68" s="10" t="s">
        <v>131</v>
      </c>
      <c r="C68" s="10"/>
      <c r="D68" s="453" t="s">
        <v>132</v>
      </c>
      <c r="E68" s="454"/>
      <c r="F68" s="455"/>
      <c r="G68" s="437"/>
      <c r="H68" s="437"/>
      <c r="I68" s="463">
        <v>20000</v>
      </c>
      <c r="J68" s="461">
        <f t="shared" si="0"/>
        <v>544091.72</v>
      </c>
      <c r="K68" s="9"/>
    </row>
    <row r="69" ht="18" customHeight="1" spans="1:11">
      <c r="A69" s="436">
        <v>63</v>
      </c>
      <c r="B69" s="10" t="s">
        <v>133</v>
      </c>
      <c r="C69" s="10"/>
      <c r="D69" s="440" t="s">
        <v>40</v>
      </c>
      <c r="E69" s="441"/>
      <c r="F69" s="442"/>
      <c r="G69" s="437"/>
      <c r="H69" s="437"/>
      <c r="I69" s="463">
        <v>3</v>
      </c>
      <c r="J69" s="461">
        <f t="shared" si="0"/>
        <v>544088.72</v>
      </c>
      <c r="K69" s="9"/>
    </row>
    <row r="70" ht="18" customHeight="1" spans="1:11">
      <c r="A70" s="436">
        <v>64</v>
      </c>
      <c r="B70" s="10" t="s">
        <v>134</v>
      </c>
      <c r="C70" s="10" t="s">
        <v>135</v>
      </c>
      <c r="D70" s="456"/>
      <c r="E70" s="456" t="s">
        <v>67</v>
      </c>
      <c r="F70" s="456" t="s">
        <v>136</v>
      </c>
      <c r="G70" s="437"/>
      <c r="H70" s="437">
        <v>99</v>
      </c>
      <c r="I70" s="463"/>
      <c r="J70" s="461">
        <f t="shared" si="0"/>
        <v>544187.72</v>
      </c>
      <c r="K70" s="9"/>
    </row>
    <row r="71" ht="18" customHeight="1" spans="1:11">
      <c r="A71" s="436">
        <v>65</v>
      </c>
      <c r="B71" s="10" t="s">
        <v>134</v>
      </c>
      <c r="C71" s="10" t="s">
        <v>18</v>
      </c>
      <c r="D71" s="10" t="s">
        <v>19</v>
      </c>
      <c r="E71" s="439" t="s">
        <v>20</v>
      </c>
      <c r="F71" s="456" t="s">
        <v>137</v>
      </c>
      <c r="G71" s="437"/>
      <c r="H71" s="437">
        <v>128</v>
      </c>
      <c r="I71" s="463"/>
      <c r="J71" s="461">
        <f t="shared" si="0"/>
        <v>544315.72</v>
      </c>
      <c r="K71" s="9"/>
    </row>
    <row r="72" ht="18" customHeight="1" spans="1:11">
      <c r="A72" s="436">
        <v>66</v>
      </c>
      <c r="B72" s="10" t="s">
        <v>138</v>
      </c>
      <c r="C72" s="10" t="s">
        <v>120</v>
      </c>
      <c r="D72" s="10" t="s">
        <v>121</v>
      </c>
      <c r="E72" s="6" t="s">
        <v>122</v>
      </c>
      <c r="F72" s="10" t="s">
        <v>139</v>
      </c>
      <c r="G72" s="437"/>
      <c r="H72" s="437">
        <v>148</v>
      </c>
      <c r="I72" s="463"/>
      <c r="J72" s="461">
        <f t="shared" ref="J72:J135" si="1">J71+G72+H72-I72</f>
        <v>544463.72</v>
      </c>
      <c r="K72" s="9"/>
    </row>
    <row r="73" ht="18" customHeight="1" spans="1:11">
      <c r="A73" s="436">
        <v>67</v>
      </c>
      <c r="B73" s="10" t="s">
        <v>138</v>
      </c>
      <c r="C73" s="10" t="s">
        <v>18</v>
      </c>
      <c r="D73" s="10" t="s">
        <v>19</v>
      </c>
      <c r="E73" s="439" t="s">
        <v>20</v>
      </c>
      <c r="F73" s="10" t="s">
        <v>124</v>
      </c>
      <c r="G73" s="437"/>
      <c r="H73" s="437">
        <v>98</v>
      </c>
      <c r="I73" s="463"/>
      <c r="J73" s="461">
        <f t="shared" si="1"/>
        <v>544561.72</v>
      </c>
      <c r="K73" s="9"/>
    </row>
    <row r="74" ht="18" customHeight="1" spans="1:11">
      <c r="A74" s="436">
        <v>68</v>
      </c>
      <c r="B74" s="10" t="s">
        <v>140</v>
      </c>
      <c r="C74" s="10" t="s">
        <v>141</v>
      </c>
      <c r="D74" s="10" t="s">
        <v>88</v>
      </c>
      <c r="E74" s="6" t="s">
        <v>142</v>
      </c>
      <c r="F74" s="10" t="s">
        <v>106</v>
      </c>
      <c r="G74" s="437"/>
      <c r="H74" s="437">
        <v>268</v>
      </c>
      <c r="I74" s="463"/>
      <c r="J74" s="461">
        <f t="shared" si="1"/>
        <v>544829.72</v>
      </c>
      <c r="K74" s="9"/>
    </row>
    <row r="75" ht="18" customHeight="1" spans="1:11">
      <c r="A75" s="436">
        <v>69</v>
      </c>
      <c r="B75" s="10" t="s">
        <v>140</v>
      </c>
      <c r="C75" s="10" t="s">
        <v>141</v>
      </c>
      <c r="D75" s="10" t="s">
        <v>88</v>
      </c>
      <c r="E75" s="6" t="s">
        <v>142</v>
      </c>
      <c r="F75" s="10" t="s">
        <v>136</v>
      </c>
      <c r="G75" s="437"/>
      <c r="H75" s="437">
        <v>238</v>
      </c>
      <c r="I75" s="463"/>
      <c r="J75" s="461">
        <f t="shared" si="1"/>
        <v>545067.72</v>
      </c>
      <c r="K75" s="9"/>
    </row>
    <row r="76" ht="18" customHeight="1" spans="1:11">
      <c r="A76" s="436">
        <v>70</v>
      </c>
      <c r="B76" s="10" t="s">
        <v>140</v>
      </c>
      <c r="C76" s="10" t="s">
        <v>18</v>
      </c>
      <c r="D76" s="10" t="s">
        <v>19</v>
      </c>
      <c r="E76" s="439" t="s">
        <v>20</v>
      </c>
      <c r="F76" s="10" t="s">
        <v>139</v>
      </c>
      <c r="G76" s="437"/>
      <c r="H76" s="437">
        <v>68</v>
      </c>
      <c r="I76" s="463"/>
      <c r="J76" s="461">
        <f t="shared" si="1"/>
        <v>545135.72</v>
      </c>
      <c r="K76" s="9"/>
    </row>
    <row r="77" ht="18" customHeight="1" spans="1:11">
      <c r="A77" s="436">
        <v>71</v>
      </c>
      <c r="B77" s="10" t="s">
        <v>143</v>
      </c>
      <c r="C77" s="10" t="s">
        <v>141</v>
      </c>
      <c r="D77" s="10" t="s">
        <v>88</v>
      </c>
      <c r="E77" s="6" t="s">
        <v>142</v>
      </c>
      <c r="F77" s="10" t="s">
        <v>144</v>
      </c>
      <c r="G77" s="437"/>
      <c r="H77" s="437">
        <v>220</v>
      </c>
      <c r="I77" s="463"/>
      <c r="J77" s="461">
        <f t="shared" si="1"/>
        <v>545355.72</v>
      </c>
      <c r="K77" s="9"/>
    </row>
    <row r="78" ht="18" customHeight="1" spans="1:11">
      <c r="A78" s="436">
        <v>72</v>
      </c>
      <c r="B78" s="10" t="s">
        <v>143</v>
      </c>
      <c r="C78" s="10" t="s">
        <v>141</v>
      </c>
      <c r="D78" s="10" t="s">
        <v>88</v>
      </c>
      <c r="E78" s="6" t="s">
        <v>142</v>
      </c>
      <c r="F78" s="10" t="s">
        <v>144</v>
      </c>
      <c r="G78" s="437"/>
      <c r="H78" s="437">
        <v>220</v>
      </c>
      <c r="I78" s="463"/>
      <c r="J78" s="461">
        <f t="shared" si="1"/>
        <v>545575.72</v>
      </c>
      <c r="K78" s="9"/>
    </row>
    <row r="79" ht="18" customHeight="1" spans="1:11">
      <c r="A79" s="436">
        <v>73</v>
      </c>
      <c r="B79" s="10" t="s">
        <v>143</v>
      </c>
      <c r="C79" s="10" t="s">
        <v>18</v>
      </c>
      <c r="D79" s="10" t="s">
        <v>19</v>
      </c>
      <c r="E79" s="439" t="s">
        <v>20</v>
      </c>
      <c r="F79" s="10" t="s">
        <v>145</v>
      </c>
      <c r="G79" s="437"/>
      <c r="H79" s="437">
        <v>150</v>
      </c>
      <c r="I79" s="463"/>
      <c r="J79" s="461">
        <f t="shared" si="1"/>
        <v>545725.72</v>
      </c>
      <c r="K79" s="9"/>
    </row>
    <row r="80" ht="18" customHeight="1" spans="1:11">
      <c r="A80" s="436">
        <v>74</v>
      </c>
      <c r="B80" s="10" t="s">
        <v>146</v>
      </c>
      <c r="C80" s="10"/>
      <c r="D80" s="440" t="s">
        <v>40</v>
      </c>
      <c r="E80" s="441"/>
      <c r="F80" s="442"/>
      <c r="G80" s="437"/>
      <c r="H80" s="437"/>
      <c r="I80" s="463">
        <v>3</v>
      </c>
      <c r="J80" s="461">
        <f t="shared" si="1"/>
        <v>545722.72</v>
      </c>
      <c r="K80" s="9"/>
    </row>
    <row r="81" ht="18" customHeight="1" spans="1:11">
      <c r="A81" s="436">
        <v>75</v>
      </c>
      <c r="B81" s="10" t="s">
        <v>147</v>
      </c>
      <c r="C81" s="10" t="s">
        <v>141</v>
      </c>
      <c r="D81" s="10" t="s">
        <v>88</v>
      </c>
      <c r="E81" s="6" t="s">
        <v>142</v>
      </c>
      <c r="F81" s="10" t="s">
        <v>29</v>
      </c>
      <c r="G81" s="437"/>
      <c r="H81" s="437">
        <v>158</v>
      </c>
      <c r="I81" s="463"/>
      <c r="J81" s="461">
        <f t="shared" si="1"/>
        <v>545880.72</v>
      </c>
      <c r="K81" s="9"/>
    </row>
    <row r="82" ht="18" customHeight="1" spans="1:11">
      <c r="A82" s="436">
        <v>76</v>
      </c>
      <c r="B82" s="10" t="s">
        <v>147</v>
      </c>
      <c r="C82" s="10" t="s">
        <v>141</v>
      </c>
      <c r="D82" s="10" t="s">
        <v>88</v>
      </c>
      <c r="E82" s="6" t="s">
        <v>142</v>
      </c>
      <c r="F82" s="10" t="s">
        <v>29</v>
      </c>
      <c r="G82" s="437"/>
      <c r="H82" s="437">
        <v>158</v>
      </c>
      <c r="I82" s="463"/>
      <c r="J82" s="461">
        <f t="shared" si="1"/>
        <v>546038.72</v>
      </c>
      <c r="K82" s="9"/>
    </row>
    <row r="83" ht="18" customHeight="1" spans="1:11">
      <c r="A83" s="436">
        <v>77</v>
      </c>
      <c r="B83" s="10" t="s">
        <v>147</v>
      </c>
      <c r="C83" s="10" t="s">
        <v>18</v>
      </c>
      <c r="D83" s="10" t="s">
        <v>19</v>
      </c>
      <c r="E83" s="439" t="s">
        <v>20</v>
      </c>
      <c r="F83" s="10" t="s">
        <v>148</v>
      </c>
      <c r="G83" s="437"/>
      <c r="H83" s="437">
        <v>98</v>
      </c>
      <c r="I83" s="463"/>
      <c r="J83" s="461">
        <f t="shared" si="1"/>
        <v>546136.72</v>
      </c>
      <c r="K83" s="9"/>
    </row>
    <row r="84" ht="18" customHeight="1" spans="1:11">
      <c r="A84" s="436">
        <v>78</v>
      </c>
      <c r="B84" s="10" t="s">
        <v>149</v>
      </c>
      <c r="C84" s="10" t="s">
        <v>150</v>
      </c>
      <c r="D84" s="10" t="s">
        <v>151</v>
      </c>
      <c r="E84" s="6" t="s">
        <v>67</v>
      </c>
      <c r="F84" s="10" t="s">
        <v>152</v>
      </c>
      <c r="G84" s="437"/>
      <c r="H84" s="437">
        <v>89</v>
      </c>
      <c r="I84" s="463"/>
      <c r="J84" s="461">
        <f t="shared" si="1"/>
        <v>546225.72</v>
      </c>
      <c r="K84" s="9"/>
    </row>
    <row r="85" ht="18" customHeight="1" spans="1:11">
      <c r="A85" s="436">
        <v>79</v>
      </c>
      <c r="B85" s="10" t="s">
        <v>149</v>
      </c>
      <c r="C85" s="10" t="s">
        <v>153</v>
      </c>
      <c r="D85" s="10"/>
      <c r="E85" s="439" t="s">
        <v>20</v>
      </c>
      <c r="F85" s="10" t="s">
        <v>154</v>
      </c>
      <c r="G85" s="437"/>
      <c r="H85" s="437">
        <v>108</v>
      </c>
      <c r="I85" s="463"/>
      <c r="J85" s="461">
        <f t="shared" si="1"/>
        <v>546333.72</v>
      </c>
      <c r="K85" s="9"/>
    </row>
    <row r="86" ht="18" customHeight="1" spans="1:11">
      <c r="A86" s="436">
        <v>80</v>
      </c>
      <c r="B86" s="10" t="s">
        <v>155</v>
      </c>
      <c r="C86" s="10" t="s">
        <v>156</v>
      </c>
      <c r="D86" s="10" t="s">
        <v>157</v>
      </c>
      <c r="E86" s="6" t="s">
        <v>67</v>
      </c>
      <c r="F86" s="10" t="s">
        <v>144</v>
      </c>
      <c r="G86" s="437"/>
      <c r="H86" s="437">
        <v>95</v>
      </c>
      <c r="I86" s="463"/>
      <c r="J86" s="461">
        <f t="shared" si="1"/>
        <v>546428.72</v>
      </c>
      <c r="K86" s="9"/>
    </row>
    <row r="87" ht="18" customHeight="1" spans="1:11">
      <c r="A87" s="436">
        <v>81</v>
      </c>
      <c r="B87" s="10" t="s">
        <v>155</v>
      </c>
      <c r="C87" s="10" t="s">
        <v>18</v>
      </c>
      <c r="D87" s="10" t="s">
        <v>19</v>
      </c>
      <c r="E87" s="439" t="s">
        <v>20</v>
      </c>
      <c r="F87" s="10" t="s">
        <v>144</v>
      </c>
      <c r="G87" s="437"/>
      <c r="H87" s="437">
        <v>100</v>
      </c>
      <c r="I87" s="463"/>
      <c r="J87" s="461">
        <f t="shared" si="1"/>
        <v>546528.72</v>
      </c>
      <c r="K87" s="9"/>
    </row>
    <row r="88" ht="18" customHeight="1" spans="1:11">
      <c r="A88" s="436">
        <v>82</v>
      </c>
      <c r="B88" s="10" t="s">
        <v>158</v>
      </c>
      <c r="C88" s="10" t="s">
        <v>159</v>
      </c>
      <c r="D88" s="10" t="s">
        <v>160</v>
      </c>
      <c r="E88" s="6" t="s">
        <v>39</v>
      </c>
      <c r="F88" s="10"/>
      <c r="G88" s="437">
        <v>500</v>
      </c>
      <c r="H88" s="437"/>
      <c r="I88" s="463"/>
      <c r="J88" s="461">
        <f t="shared" si="1"/>
        <v>547028.72</v>
      </c>
      <c r="K88" s="9"/>
    </row>
    <row r="89" ht="18" customHeight="1" spans="1:11">
      <c r="A89" s="436">
        <v>83</v>
      </c>
      <c r="B89" s="10" t="s">
        <v>161</v>
      </c>
      <c r="C89" s="10" t="s">
        <v>26</v>
      </c>
      <c r="D89" s="10" t="s">
        <v>27</v>
      </c>
      <c r="E89" s="6" t="s">
        <v>162</v>
      </c>
      <c r="F89" s="10" t="s">
        <v>34</v>
      </c>
      <c r="G89" s="437"/>
      <c r="H89" s="437">
        <v>132</v>
      </c>
      <c r="I89" s="463"/>
      <c r="J89" s="461">
        <f t="shared" si="1"/>
        <v>547160.72</v>
      </c>
      <c r="K89" s="9"/>
    </row>
    <row r="90" ht="18" customHeight="1" spans="1:11">
      <c r="A90" s="436">
        <v>84</v>
      </c>
      <c r="B90" s="10" t="s">
        <v>161</v>
      </c>
      <c r="C90" s="10" t="s">
        <v>127</v>
      </c>
      <c r="D90" s="10" t="s">
        <v>92</v>
      </c>
      <c r="E90" s="6" t="s">
        <v>67</v>
      </c>
      <c r="F90" s="10" t="s">
        <v>163</v>
      </c>
      <c r="G90" s="437"/>
      <c r="H90" s="437">
        <v>118</v>
      </c>
      <c r="I90" s="463"/>
      <c r="J90" s="461">
        <f t="shared" si="1"/>
        <v>547278.72</v>
      </c>
      <c r="K90" s="9"/>
    </row>
    <row r="91" ht="18" customHeight="1" spans="1:11">
      <c r="A91" s="436">
        <v>85</v>
      </c>
      <c r="B91" s="10" t="s">
        <v>164</v>
      </c>
      <c r="C91" s="10" t="s">
        <v>91</v>
      </c>
      <c r="D91" s="10" t="s">
        <v>92</v>
      </c>
      <c r="E91" s="6" t="s">
        <v>67</v>
      </c>
      <c r="F91" s="10" t="s">
        <v>165</v>
      </c>
      <c r="G91" s="437"/>
      <c r="H91" s="437">
        <v>128</v>
      </c>
      <c r="I91" s="463"/>
      <c r="J91" s="461">
        <f t="shared" si="1"/>
        <v>547406.72</v>
      </c>
      <c r="K91" s="9"/>
    </row>
    <row r="92" ht="18" customHeight="1" spans="1:11">
      <c r="A92" s="436">
        <v>86</v>
      </c>
      <c r="B92" s="10" t="s">
        <v>164</v>
      </c>
      <c r="C92" s="10" t="s">
        <v>141</v>
      </c>
      <c r="D92" s="10" t="s">
        <v>88</v>
      </c>
      <c r="E92" s="6" t="s">
        <v>166</v>
      </c>
      <c r="F92" s="10" t="s">
        <v>81</v>
      </c>
      <c r="G92" s="437"/>
      <c r="H92" s="437">
        <v>99</v>
      </c>
      <c r="I92" s="463"/>
      <c r="J92" s="461">
        <f t="shared" si="1"/>
        <v>547505.72</v>
      </c>
      <c r="K92" s="9"/>
    </row>
    <row r="93" ht="18" customHeight="1" spans="1:11">
      <c r="A93" s="436">
        <v>87</v>
      </c>
      <c r="B93" s="10" t="s">
        <v>167</v>
      </c>
      <c r="C93" s="10"/>
      <c r="D93" s="440" t="s">
        <v>40</v>
      </c>
      <c r="E93" s="441"/>
      <c r="F93" s="442"/>
      <c r="G93" s="437"/>
      <c r="H93" s="437"/>
      <c r="I93" s="463">
        <v>3</v>
      </c>
      <c r="J93" s="461">
        <f t="shared" si="1"/>
        <v>547502.72</v>
      </c>
      <c r="K93" s="9"/>
    </row>
    <row r="94" ht="18" customHeight="1" spans="1:11">
      <c r="A94" s="436">
        <v>88</v>
      </c>
      <c r="B94" s="10" t="s">
        <v>168</v>
      </c>
      <c r="C94" s="10" t="s">
        <v>99</v>
      </c>
      <c r="D94" s="10" t="s">
        <v>97</v>
      </c>
      <c r="E94" s="6" t="s">
        <v>122</v>
      </c>
      <c r="F94" s="10" t="s">
        <v>169</v>
      </c>
      <c r="G94" s="437"/>
      <c r="H94" s="437">
        <v>268</v>
      </c>
      <c r="I94" s="463"/>
      <c r="J94" s="461">
        <f t="shared" si="1"/>
        <v>547770.72</v>
      </c>
      <c r="K94" s="9"/>
    </row>
    <row r="95" ht="18" customHeight="1" spans="1:11">
      <c r="A95" s="436">
        <v>89</v>
      </c>
      <c r="B95" s="10" t="s">
        <v>168</v>
      </c>
      <c r="C95" s="10" t="s">
        <v>18</v>
      </c>
      <c r="D95" s="10" t="s">
        <v>19</v>
      </c>
      <c r="E95" s="439" t="s">
        <v>20</v>
      </c>
      <c r="F95" s="10" t="s">
        <v>170</v>
      </c>
      <c r="G95" s="437"/>
      <c r="H95" s="437">
        <v>90</v>
      </c>
      <c r="I95" s="463"/>
      <c r="J95" s="461">
        <f t="shared" si="1"/>
        <v>547860.72</v>
      </c>
      <c r="K95" s="9"/>
    </row>
    <row r="96" ht="18" customHeight="1" spans="1:11">
      <c r="A96" s="436">
        <v>90</v>
      </c>
      <c r="B96" s="10" t="s">
        <v>171</v>
      </c>
      <c r="C96" s="10" t="s">
        <v>44</v>
      </c>
      <c r="D96" s="10" t="s">
        <v>45</v>
      </c>
      <c r="E96" s="6" t="s">
        <v>172</v>
      </c>
      <c r="F96" s="10" t="s">
        <v>173</v>
      </c>
      <c r="G96" s="437"/>
      <c r="H96" s="437">
        <v>198</v>
      </c>
      <c r="I96" s="463"/>
      <c r="J96" s="461">
        <f t="shared" si="1"/>
        <v>548058.72</v>
      </c>
      <c r="K96" s="9"/>
    </row>
    <row r="97" ht="18" customHeight="1" spans="1:11">
      <c r="A97" s="436">
        <v>91</v>
      </c>
      <c r="B97" s="10" t="s">
        <v>171</v>
      </c>
      <c r="C97" s="10" t="s">
        <v>99</v>
      </c>
      <c r="D97" s="10" t="s">
        <v>97</v>
      </c>
      <c r="E97" s="6" t="s">
        <v>122</v>
      </c>
      <c r="F97" s="10" t="s">
        <v>174</v>
      </c>
      <c r="G97" s="437"/>
      <c r="H97" s="437">
        <v>238</v>
      </c>
      <c r="I97" s="463"/>
      <c r="J97" s="461">
        <f t="shared" si="1"/>
        <v>548296.72</v>
      </c>
      <c r="K97" s="9"/>
    </row>
    <row r="98" ht="18" customHeight="1" spans="1:11">
      <c r="A98" s="436">
        <v>92</v>
      </c>
      <c r="B98" s="10" t="s">
        <v>175</v>
      </c>
      <c r="C98" s="10"/>
      <c r="D98" s="440" t="s">
        <v>176</v>
      </c>
      <c r="E98" s="441"/>
      <c r="F98" s="442"/>
      <c r="G98" s="437"/>
      <c r="H98" s="437"/>
      <c r="I98" s="463">
        <v>15000</v>
      </c>
      <c r="J98" s="461">
        <f t="shared" si="1"/>
        <v>533296.72</v>
      </c>
      <c r="K98" s="9"/>
    </row>
    <row r="99" ht="18" customHeight="1" spans="1:11">
      <c r="A99" s="436">
        <v>93</v>
      </c>
      <c r="B99" s="10" t="s">
        <v>177</v>
      </c>
      <c r="C99" s="10" t="s">
        <v>120</v>
      </c>
      <c r="D99" s="10" t="s">
        <v>121</v>
      </c>
      <c r="E99" s="6" t="s">
        <v>122</v>
      </c>
      <c r="F99" s="10" t="s">
        <v>178</v>
      </c>
      <c r="G99" s="437"/>
      <c r="H99" s="437">
        <v>168</v>
      </c>
      <c r="I99" s="463"/>
      <c r="J99" s="461">
        <f t="shared" si="1"/>
        <v>533464.72</v>
      </c>
      <c r="K99" s="9"/>
    </row>
    <row r="100" ht="18" customHeight="1" spans="1:11">
      <c r="A100" s="436">
        <v>94</v>
      </c>
      <c r="B100" s="10" t="s">
        <v>177</v>
      </c>
      <c r="C100" s="10" t="s">
        <v>91</v>
      </c>
      <c r="D100" s="10" t="s">
        <v>92</v>
      </c>
      <c r="E100" s="6" t="s">
        <v>67</v>
      </c>
      <c r="F100" s="10" t="s">
        <v>179</v>
      </c>
      <c r="G100" s="437"/>
      <c r="H100" s="437">
        <v>108</v>
      </c>
      <c r="I100" s="463"/>
      <c r="J100" s="461">
        <f t="shared" si="1"/>
        <v>533572.72</v>
      </c>
      <c r="K100" s="9"/>
    </row>
    <row r="101" ht="18" customHeight="1" spans="1:11">
      <c r="A101" s="436">
        <v>95</v>
      </c>
      <c r="B101" s="10" t="s">
        <v>177</v>
      </c>
      <c r="C101" s="10" t="s">
        <v>180</v>
      </c>
      <c r="D101" s="10" t="s">
        <v>181</v>
      </c>
      <c r="E101" s="6" t="s">
        <v>39</v>
      </c>
      <c r="F101" s="10"/>
      <c r="G101" s="437">
        <v>200</v>
      </c>
      <c r="H101" s="437"/>
      <c r="I101" s="463"/>
      <c r="J101" s="461">
        <f t="shared" si="1"/>
        <v>533772.72</v>
      </c>
      <c r="K101" s="9"/>
    </row>
    <row r="102" ht="18" customHeight="1" spans="1:11">
      <c r="A102" s="436">
        <v>96</v>
      </c>
      <c r="B102" s="10" t="s">
        <v>182</v>
      </c>
      <c r="C102" s="10" t="s">
        <v>183</v>
      </c>
      <c r="D102" s="10" t="s">
        <v>184</v>
      </c>
      <c r="E102" s="6" t="s">
        <v>67</v>
      </c>
      <c r="F102" s="10" t="s">
        <v>185</v>
      </c>
      <c r="G102" s="437"/>
      <c r="H102" s="437">
        <v>60</v>
      </c>
      <c r="I102" s="463"/>
      <c r="J102" s="461">
        <f t="shared" si="1"/>
        <v>533832.72</v>
      </c>
      <c r="K102" s="9"/>
    </row>
    <row r="103" ht="18" customHeight="1" spans="1:11">
      <c r="A103" s="436">
        <v>97</v>
      </c>
      <c r="B103" s="10" t="s">
        <v>182</v>
      </c>
      <c r="C103" s="10" t="s">
        <v>22</v>
      </c>
      <c r="D103" s="10" t="s">
        <v>23</v>
      </c>
      <c r="E103" s="6" t="s">
        <v>186</v>
      </c>
      <c r="F103" s="10" t="s">
        <v>187</v>
      </c>
      <c r="G103" s="437"/>
      <c r="H103" s="437">
        <v>40</v>
      </c>
      <c r="I103" s="463"/>
      <c r="J103" s="461">
        <f t="shared" si="1"/>
        <v>533872.72</v>
      </c>
      <c r="K103" s="9"/>
    </row>
    <row r="104" ht="18" customHeight="1" spans="1:11">
      <c r="A104" s="436">
        <v>98</v>
      </c>
      <c r="B104" s="10" t="s">
        <v>182</v>
      </c>
      <c r="C104" s="10" t="s">
        <v>22</v>
      </c>
      <c r="D104" s="10" t="s">
        <v>23</v>
      </c>
      <c r="E104" s="6" t="s">
        <v>186</v>
      </c>
      <c r="F104" s="10" t="s">
        <v>188</v>
      </c>
      <c r="G104" s="437"/>
      <c r="H104" s="437">
        <v>48</v>
      </c>
      <c r="I104" s="463"/>
      <c r="J104" s="461">
        <f t="shared" si="1"/>
        <v>533920.72</v>
      </c>
      <c r="K104" s="9"/>
    </row>
    <row r="105" ht="18" customHeight="1" spans="1:11">
      <c r="A105" s="436">
        <v>99</v>
      </c>
      <c r="B105" s="10" t="s">
        <v>182</v>
      </c>
      <c r="C105" s="10" t="s">
        <v>22</v>
      </c>
      <c r="D105" s="10" t="s">
        <v>23</v>
      </c>
      <c r="E105" s="6" t="s">
        <v>186</v>
      </c>
      <c r="F105" s="10" t="s">
        <v>187</v>
      </c>
      <c r="G105" s="437"/>
      <c r="H105" s="437">
        <v>40</v>
      </c>
      <c r="I105" s="463"/>
      <c r="J105" s="461">
        <f t="shared" si="1"/>
        <v>533960.72</v>
      </c>
      <c r="K105" s="9"/>
    </row>
    <row r="106" ht="18" customHeight="1" spans="1:11">
      <c r="A106" s="436">
        <v>100</v>
      </c>
      <c r="B106" s="10" t="s">
        <v>189</v>
      </c>
      <c r="C106" s="10"/>
      <c r="D106" s="440" t="s">
        <v>40</v>
      </c>
      <c r="E106" s="441"/>
      <c r="F106" s="442"/>
      <c r="G106" s="437"/>
      <c r="H106" s="437"/>
      <c r="I106" s="463">
        <v>3</v>
      </c>
      <c r="J106" s="461">
        <f t="shared" si="1"/>
        <v>533957.72</v>
      </c>
      <c r="K106" s="9"/>
    </row>
    <row r="107" ht="18" customHeight="1" spans="1:11">
      <c r="A107" s="436">
        <v>101</v>
      </c>
      <c r="B107" s="10" t="s">
        <v>190</v>
      </c>
      <c r="C107" s="10" t="s">
        <v>18</v>
      </c>
      <c r="D107" s="10" t="s">
        <v>19</v>
      </c>
      <c r="E107" s="439" t="s">
        <v>20</v>
      </c>
      <c r="F107" s="10" t="s">
        <v>179</v>
      </c>
      <c r="G107" s="437"/>
      <c r="H107" s="437">
        <v>88</v>
      </c>
      <c r="I107" s="463"/>
      <c r="J107" s="461">
        <f t="shared" si="1"/>
        <v>534045.72</v>
      </c>
      <c r="K107" s="9"/>
    </row>
    <row r="108" ht="18" customHeight="1" spans="1:11">
      <c r="A108" s="436">
        <v>102</v>
      </c>
      <c r="B108" s="10" t="s">
        <v>190</v>
      </c>
      <c r="C108" s="10" t="s">
        <v>22</v>
      </c>
      <c r="D108" s="10" t="s">
        <v>23</v>
      </c>
      <c r="E108" s="6" t="s">
        <v>186</v>
      </c>
      <c r="F108" s="10" t="s">
        <v>179</v>
      </c>
      <c r="G108" s="437"/>
      <c r="H108" s="437">
        <v>55</v>
      </c>
      <c r="I108" s="463"/>
      <c r="J108" s="461">
        <f t="shared" si="1"/>
        <v>534100.72</v>
      </c>
      <c r="K108" s="9"/>
    </row>
    <row r="109" ht="18" customHeight="1" spans="1:11">
      <c r="A109" s="436">
        <v>103</v>
      </c>
      <c r="B109" s="10" t="s">
        <v>190</v>
      </c>
      <c r="C109" s="10" t="s">
        <v>22</v>
      </c>
      <c r="D109" s="10" t="s">
        <v>23</v>
      </c>
      <c r="E109" s="6" t="s">
        <v>186</v>
      </c>
      <c r="F109" s="10" t="s">
        <v>179</v>
      </c>
      <c r="G109" s="437"/>
      <c r="H109" s="437">
        <v>55</v>
      </c>
      <c r="I109" s="463"/>
      <c r="J109" s="461">
        <f t="shared" si="1"/>
        <v>534155.72</v>
      </c>
      <c r="K109" s="9"/>
    </row>
    <row r="110" ht="18" customHeight="1" spans="1:11">
      <c r="A110" s="436">
        <v>104</v>
      </c>
      <c r="B110" s="10" t="s">
        <v>190</v>
      </c>
      <c r="C110" s="10" t="s">
        <v>22</v>
      </c>
      <c r="D110" s="10" t="s">
        <v>23</v>
      </c>
      <c r="E110" s="6" t="s">
        <v>186</v>
      </c>
      <c r="F110" s="10" t="s">
        <v>179</v>
      </c>
      <c r="G110" s="437"/>
      <c r="H110" s="437">
        <v>55</v>
      </c>
      <c r="I110" s="463"/>
      <c r="J110" s="461">
        <f t="shared" si="1"/>
        <v>534210.72</v>
      </c>
      <c r="K110" s="9"/>
    </row>
    <row r="111" ht="18" customHeight="1" spans="1:11">
      <c r="A111" s="436">
        <v>105</v>
      </c>
      <c r="B111" s="10" t="s">
        <v>191</v>
      </c>
      <c r="C111" s="10" t="s">
        <v>18</v>
      </c>
      <c r="D111" s="10" t="s">
        <v>19</v>
      </c>
      <c r="E111" s="439" t="s">
        <v>20</v>
      </c>
      <c r="F111" s="10" t="s">
        <v>56</v>
      </c>
      <c r="G111" s="437"/>
      <c r="H111" s="437">
        <v>68</v>
      </c>
      <c r="I111" s="463"/>
      <c r="J111" s="461">
        <f t="shared" si="1"/>
        <v>534278.72</v>
      </c>
      <c r="K111" s="9"/>
    </row>
    <row r="112" ht="18" customHeight="1" spans="1:11">
      <c r="A112" s="436">
        <v>106</v>
      </c>
      <c r="B112" s="10" t="s">
        <v>191</v>
      </c>
      <c r="C112" s="10" t="s">
        <v>22</v>
      </c>
      <c r="D112" s="10" t="s">
        <v>23</v>
      </c>
      <c r="E112" s="6" t="s">
        <v>186</v>
      </c>
      <c r="F112" s="10" t="s">
        <v>192</v>
      </c>
      <c r="G112" s="437"/>
      <c r="H112" s="437">
        <v>40</v>
      </c>
      <c r="I112" s="463"/>
      <c r="J112" s="461">
        <f t="shared" si="1"/>
        <v>534318.72</v>
      </c>
      <c r="K112" s="9"/>
    </row>
    <row r="113" ht="18" customHeight="1" spans="1:11">
      <c r="A113" s="436">
        <v>107</v>
      </c>
      <c r="B113" s="10" t="s">
        <v>191</v>
      </c>
      <c r="C113" s="10" t="s">
        <v>22</v>
      </c>
      <c r="D113" s="10" t="s">
        <v>23</v>
      </c>
      <c r="E113" s="6" t="s">
        <v>186</v>
      </c>
      <c r="F113" s="10" t="s">
        <v>106</v>
      </c>
      <c r="G113" s="437"/>
      <c r="H113" s="437">
        <v>40</v>
      </c>
      <c r="I113" s="463"/>
      <c r="J113" s="461">
        <f t="shared" si="1"/>
        <v>534358.72</v>
      </c>
      <c r="K113" s="9"/>
    </row>
    <row r="114" ht="18" customHeight="1" spans="1:11">
      <c r="A114" s="436">
        <v>108</v>
      </c>
      <c r="B114" s="10" t="s">
        <v>191</v>
      </c>
      <c r="C114" s="10" t="s">
        <v>22</v>
      </c>
      <c r="D114" s="10" t="s">
        <v>23</v>
      </c>
      <c r="E114" s="6" t="s">
        <v>186</v>
      </c>
      <c r="F114" s="10" t="s">
        <v>193</v>
      </c>
      <c r="G114" s="437"/>
      <c r="H114" s="437">
        <v>58</v>
      </c>
      <c r="I114" s="463"/>
      <c r="J114" s="461">
        <f t="shared" si="1"/>
        <v>534416.72</v>
      </c>
      <c r="K114" s="9"/>
    </row>
    <row r="115" ht="37.8" customHeight="1" spans="1:11">
      <c r="A115" s="436">
        <v>109</v>
      </c>
      <c r="B115" s="10" t="s">
        <v>194</v>
      </c>
      <c r="C115" s="10"/>
      <c r="D115" s="447" t="s">
        <v>195</v>
      </c>
      <c r="E115" s="448"/>
      <c r="F115" s="449"/>
      <c r="G115" s="437"/>
      <c r="H115" s="437"/>
      <c r="I115" s="463">
        <v>6000</v>
      </c>
      <c r="J115" s="461">
        <f t="shared" si="1"/>
        <v>528416.72</v>
      </c>
      <c r="K115" s="9"/>
    </row>
    <row r="116" ht="18" customHeight="1" spans="1:11">
      <c r="A116" s="436">
        <v>110</v>
      </c>
      <c r="B116" s="10" t="s">
        <v>196</v>
      </c>
      <c r="C116" s="10"/>
      <c r="D116" s="440" t="s">
        <v>197</v>
      </c>
      <c r="E116" s="441"/>
      <c r="F116" s="442"/>
      <c r="G116" s="437"/>
      <c r="H116" s="437"/>
      <c r="I116" s="463">
        <v>20000</v>
      </c>
      <c r="J116" s="461">
        <f t="shared" si="1"/>
        <v>508416.72</v>
      </c>
      <c r="K116" s="9"/>
    </row>
    <row r="117" ht="18" customHeight="1" spans="1:11">
      <c r="A117" s="436">
        <v>111</v>
      </c>
      <c r="B117" s="10" t="s">
        <v>198</v>
      </c>
      <c r="C117" s="10" t="s">
        <v>18</v>
      </c>
      <c r="D117" s="10" t="s">
        <v>19</v>
      </c>
      <c r="E117" s="439" t="s">
        <v>20</v>
      </c>
      <c r="F117" s="10" t="s">
        <v>199</v>
      </c>
      <c r="G117" s="437"/>
      <c r="H117" s="437">
        <v>58</v>
      </c>
      <c r="I117" s="463"/>
      <c r="J117" s="461">
        <f t="shared" si="1"/>
        <v>508474.72</v>
      </c>
      <c r="K117" s="9"/>
    </row>
    <row r="118" ht="18" customHeight="1" spans="1:11">
      <c r="A118" s="436">
        <v>112</v>
      </c>
      <c r="B118" s="10" t="s">
        <v>198</v>
      </c>
      <c r="C118" s="10" t="s">
        <v>22</v>
      </c>
      <c r="D118" s="10" t="s">
        <v>23</v>
      </c>
      <c r="E118" s="6" t="s">
        <v>186</v>
      </c>
      <c r="F118" s="10" t="s">
        <v>199</v>
      </c>
      <c r="G118" s="437"/>
      <c r="H118" s="437">
        <v>58</v>
      </c>
      <c r="I118" s="463"/>
      <c r="J118" s="461">
        <f t="shared" si="1"/>
        <v>508532.72</v>
      </c>
      <c r="K118" s="9"/>
    </row>
    <row r="119" ht="18" customHeight="1" spans="1:11">
      <c r="A119" s="436">
        <v>113</v>
      </c>
      <c r="B119" s="10" t="s">
        <v>198</v>
      </c>
      <c r="C119" s="10" t="s">
        <v>22</v>
      </c>
      <c r="D119" s="10" t="s">
        <v>23</v>
      </c>
      <c r="E119" s="6" t="s">
        <v>186</v>
      </c>
      <c r="F119" s="10" t="s">
        <v>139</v>
      </c>
      <c r="G119" s="437"/>
      <c r="H119" s="437">
        <v>38</v>
      </c>
      <c r="I119" s="463"/>
      <c r="J119" s="461">
        <f t="shared" si="1"/>
        <v>508570.72</v>
      </c>
      <c r="K119" s="9"/>
    </row>
    <row r="120" ht="18" customHeight="1" spans="1:11">
      <c r="A120" s="436">
        <v>114</v>
      </c>
      <c r="B120" s="10" t="s">
        <v>198</v>
      </c>
      <c r="C120" s="10" t="s">
        <v>22</v>
      </c>
      <c r="D120" s="10" t="s">
        <v>23</v>
      </c>
      <c r="E120" s="6" t="s">
        <v>186</v>
      </c>
      <c r="F120" s="10" t="s">
        <v>193</v>
      </c>
      <c r="G120" s="437"/>
      <c r="H120" s="437">
        <v>35</v>
      </c>
      <c r="I120" s="463"/>
      <c r="J120" s="461">
        <f t="shared" si="1"/>
        <v>508605.72</v>
      </c>
      <c r="K120" s="9"/>
    </row>
    <row r="121" ht="18" customHeight="1" spans="1:11">
      <c r="A121" s="436">
        <v>115</v>
      </c>
      <c r="B121" s="10" t="s">
        <v>200</v>
      </c>
      <c r="C121" s="10"/>
      <c r="D121" s="440" t="s">
        <v>201</v>
      </c>
      <c r="E121" s="441"/>
      <c r="F121" s="442"/>
      <c r="G121" s="437"/>
      <c r="H121" s="437"/>
      <c r="I121" s="463">
        <v>20000</v>
      </c>
      <c r="J121" s="461">
        <f t="shared" si="1"/>
        <v>488605.72</v>
      </c>
      <c r="K121" s="9"/>
    </row>
    <row r="122" ht="18" customHeight="1" spans="1:11">
      <c r="A122" s="436">
        <v>116</v>
      </c>
      <c r="B122" s="10" t="s">
        <v>202</v>
      </c>
      <c r="C122" s="10" t="s">
        <v>203</v>
      </c>
      <c r="D122" s="10"/>
      <c r="E122" s="6" t="s">
        <v>204</v>
      </c>
      <c r="F122" s="10" t="s">
        <v>137</v>
      </c>
      <c r="G122" s="437"/>
      <c r="H122" s="437">
        <v>438</v>
      </c>
      <c r="I122" s="463"/>
      <c r="J122" s="461">
        <f t="shared" si="1"/>
        <v>489043.72</v>
      </c>
      <c r="K122" s="9"/>
    </row>
    <row r="123" ht="18" customHeight="1" spans="1:11">
      <c r="A123" s="436">
        <v>117</v>
      </c>
      <c r="B123" s="10" t="s">
        <v>202</v>
      </c>
      <c r="C123" s="10" t="s">
        <v>22</v>
      </c>
      <c r="D123" s="10" t="s">
        <v>23</v>
      </c>
      <c r="E123" s="6" t="s">
        <v>186</v>
      </c>
      <c r="F123" s="10" t="s">
        <v>106</v>
      </c>
      <c r="G123" s="437"/>
      <c r="H123" s="437">
        <v>66</v>
      </c>
      <c r="I123" s="463"/>
      <c r="J123" s="461">
        <f t="shared" si="1"/>
        <v>489109.72</v>
      </c>
      <c r="K123" s="9"/>
    </row>
    <row r="124" ht="18" customHeight="1" spans="1:11">
      <c r="A124" s="436">
        <v>118</v>
      </c>
      <c r="B124" s="10" t="s">
        <v>202</v>
      </c>
      <c r="C124" s="10" t="s">
        <v>22</v>
      </c>
      <c r="D124" s="10" t="s">
        <v>23</v>
      </c>
      <c r="E124" s="6" t="s">
        <v>186</v>
      </c>
      <c r="F124" s="10" t="s">
        <v>106</v>
      </c>
      <c r="G124" s="437"/>
      <c r="H124" s="437">
        <v>66</v>
      </c>
      <c r="I124" s="463"/>
      <c r="J124" s="461">
        <f t="shared" si="1"/>
        <v>489175.72</v>
      </c>
      <c r="K124" s="9"/>
    </row>
    <row r="125" ht="18" customHeight="1" spans="1:11">
      <c r="A125" s="436">
        <v>119</v>
      </c>
      <c r="B125" s="10" t="s">
        <v>202</v>
      </c>
      <c r="C125" s="10" t="s">
        <v>22</v>
      </c>
      <c r="D125" s="10" t="s">
        <v>23</v>
      </c>
      <c r="E125" s="6" t="s">
        <v>186</v>
      </c>
      <c r="F125" s="10" t="s">
        <v>205</v>
      </c>
      <c r="G125" s="437"/>
      <c r="H125" s="437">
        <v>35</v>
      </c>
      <c r="I125" s="463"/>
      <c r="J125" s="461">
        <f t="shared" si="1"/>
        <v>489210.72</v>
      </c>
      <c r="K125" s="9"/>
    </row>
    <row r="126" ht="18" customHeight="1" spans="1:11">
      <c r="A126" s="436">
        <v>120</v>
      </c>
      <c r="B126" s="10" t="s">
        <v>206</v>
      </c>
      <c r="C126" s="10"/>
      <c r="D126" s="440" t="s">
        <v>40</v>
      </c>
      <c r="E126" s="441"/>
      <c r="F126" s="442"/>
      <c r="G126" s="437"/>
      <c r="H126" s="437"/>
      <c r="I126" s="463">
        <v>3</v>
      </c>
      <c r="J126" s="461">
        <f t="shared" si="1"/>
        <v>489207.72</v>
      </c>
      <c r="K126" s="9"/>
    </row>
    <row r="127" ht="18" customHeight="1" spans="1:11">
      <c r="A127" s="436">
        <v>121</v>
      </c>
      <c r="B127" s="10" t="s">
        <v>207</v>
      </c>
      <c r="C127" s="10" t="s">
        <v>203</v>
      </c>
      <c r="D127" s="10"/>
      <c r="E127" s="6" t="s">
        <v>204</v>
      </c>
      <c r="F127" s="10" t="s">
        <v>187</v>
      </c>
      <c r="G127" s="437"/>
      <c r="H127" s="437">
        <v>188</v>
      </c>
      <c r="I127" s="463"/>
      <c r="J127" s="461">
        <f t="shared" si="1"/>
        <v>489395.72</v>
      </c>
      <c r="K127" s="9"/>
    </row>
    <row r="128" ht="18" customHeight="1" spans="1:11">
      <c r="A128" s="436">
        <v>122</v>
      </c>
      <c r="B128" s="10" t="s">
        <v>207</v>
      </c>
      <c r="C128" s="10" t="s">
        <v>22</v>
      </c>
      <c r="D128" s="10" t="s">
        <v>23</v>
      </c>
      <c r="E128" s="6" t="s">
        <v>186</v>
      </c>
      <c r="F128" s="10" t="s">
        <v>81</v>
      </c>
      <c r="G128" s="437"/>
      <c r="H128" s="437">
        <v>88</v>
      </c>
      <c r="I128" s="463"/>
      <c r="J128" s="461">
        <f t="shared" si="1"/>
        <v>489483.72</v>
      </c>
      <c r="K128" s="9"/>
    </row>
    <row r="129" ht="18" customHeight="1" spans="1:11">
      <c r="A129" s="436">
        <v>123</v>
      </c>
      <c r="B129" s="10" t="s">
        <v>207</v>
      </c>
      <c r="C129" s="10" t="s">
        <v>22</v>
      </c>
      <c r="D129" s="10" t="s">
        <v>23</v>
      </c>
      <c r="E129" s="6" t="s">
        <v>186</v>
      </c>
      <c r="F129" s="10" t="s">
        <v>81</v>
      </c>
      <c r="G129" s="437"/>
      <c r="H129" s="437">
        <v>88</v>
      </c>
      <c r="I129" s="463"/>
      <c r="J129" s="461">
        <f t="shared" si="1"/>
        <v>489571.72</v>
      </c>
      <c r="K129" s="9"/>
    </row>
    <row r="130" ht="18" customHeight="1" spans="1:11">
      <c r="A130" s="436">
        <v>124</v>
      </c>
      <c r="B130" s="10" t="s">
        <v>207</v>
      </c>
      <c r="C130" s="10" t="s">
        <v>22</v>
      </c>
      <c r="D130" s="10" t="s">
        <v>23</v>
      </c>
      <c r="E130" s="6" t="s">
        <v>186</v>
      </c>
      <c r="F130" s="10" t="s">
        <v>81</v>
      </c>
      <c r="G130" s="437"/>
      <c r="H130" s="437">
        <v>88</v>
      </c>
      <c r="I130" s="463"/>
      <c r="J130" s="461">
        <f t="shared" si="1"/>
        <v>489659.72</v>
      </c>
      <c r="K130" s="9"/>
    </row>
    <row r="131" ht="18" customHeight="1" spans="1:11">
      <c r="A131" s="436">
        <v>125</v>
      </c>
      <c r="B131" s="10" t="s">
        <v>208</v>
      </c>
      <c r="C131" s="10" t="s">
        <v>203</v>
      </c>
      <c r="D131" s="10"/>
      <c r="E131" s="6" t="s">
        <v>204</v>
      </c>
      <c r="F131" s="10" t="s">
        <v>56</v>
      </c>
      <c r="G131" s="437"/>
      <c r="H131" s="437">
        <v>168</v>
      </c>
      <c r="I131" s="463"/>
      <c r="J131" s="461">
        <f t="shared" si="1"/>
        <v>489827.72</v>
      </c>
      <c r="K131" s="9"/>
    </row>
    <row r="132" ht="18" customHeight="1" spans="1:11">
      <c r="A132" s="436">
        <v>126</v>
      </c>
      <c r="B132" s="10" t="s">
        <v>208</v>
      </c>
      <c r="C132" s="10" t="s">
        <v>18</v>
      </c>
      <c r="D132" s="10" t="s">
        <v>19</v>
      </c>
      <c r="E132" s="439" t="s">
        <v>20</v>
      </c>
      <c r="F132" s="10" t="s">
        <v>136</v>
      </c>
      <c r="G132" s="437"/>
      <c r="H132" s="437">
        <v>100</v>
      </c>
      <c r="I132" s="463"/>
      <c r="J132" s="461">
        <f t="shared" si="1"/>
        <v>489927.72</v>
      </c>
      <c r="K132" s="9"/>
    </row>
    <row r="133" ht="18" customHeight="1" spans="1:11">
      <c r="A133" s="436">
        <v>127</v>
      </c>
      <c r="B133" s="10" t="s">
        <v>209</v>
      </c>
      <c r="C133" s="10" t="s">
        <v>18</v>
      </c>
      <c r="D133" s="10" t="s">
        <v>19</v>
      </c>
      <c r="E133" s="439" t="s">
        <v>20</v>
      </c>
      <c r="F133" s="10" t="s">
        <v>210</v>
      </c>
      <c r="G133" s="437"/>
      <c r="H133" s="437">
        <v>50</v>
      </c>
      <c r="I133" s="463"/>
      <c r="J133" s="461">
        <f t="shared" si="1"/>
        <v>489977.72</v>
      </c>
      <c r="K133" s="9"/>
    </row>
    <row r="134" ht="18" customHeight="1" spans="1:11">
      <c r="A134" s="436">
        <v>128</v>
      </c>
      <c r="B134" s="10" t="s">
        <v>209</v>
      </c>
      <c r="C134" s="10" t="s">
        <v>18</v>
      </c>
      <c r="D134" s="10" t="s">
        <v>19</v>
      </c>
      <c r="E134" s="439" t="s">
        <v>20</v>
      </c>
      <c r="F134" s="10" t="s">
        <v>211</v>
      </c>
      <c r="G134" s="437"/>
      <c r="H134" s="437">
        <v>48</v>
      </c>
      <c r="I134" s="463"/>
      <c r="J134" s="461">
        <f t="shared" si="1"/>
        <v>490025.72</v>
      </c>
      <c r="K134" s="9"/>
    </row>
    <row r="135" ht="18" customHeight="1" spans="1:11">
      <c r="A135" s="436">
        <v>129</v>
      </c>
      <c r="B135" s="10" t="s">
        <v>212</v>
      </c>
      <c r="C135" s="10" t="s">
        <v>38</v>
      </c>
      <c r="D135" s="10" t="s">
        <v>23</v>
      </c>
      <c r="E135" s="6" t="s">
        <v>39</v>
      </c>
      <c r="F135" s="10"/>
      <c r="G135" s="437">
        <v>1000</v>
      </c>
      <c r="H135" s="437"/>
      <c r="I135" s="463"/>
      <c r="J135" s="461">
        <f t="shared" si="1"/>
        <v>491025.72</v>
      </c>
      <c r="K135" s="9"/>
    </row>
    <row r="136" ht="18" customHeight="1" spans="1:11">
      <c r="A136" s="436">
        <v>130</v>
      </c>
      <c r="B136" s="10" t="s">
        <v>213</v>
      </c>
      <c r="C136" s="10" t="s">
        <v>44</v>
      </c>
      <c r="D136" s="10" t="s">
        <v>45</v>
      </c>
      <c r="E136" s="6" t="s">
        <v>46</v>
      </c>
      <c r="F136" s="10" t="s">
        <v>205</v>
      </c>
      <c r="G136" s="437"/>
      <c r="H136" s="437">
        <v>300</v>
      </c>
      <c r="I136" s="463"/>
      <c r="J136" s="461">
        <f t="shared" ref="J136:J190" si="2">J135+G136+H136-I136</f>
        <v>491325.72</v>
      </c>
      <c r="K136" s="9"/>
    </row>
    <row r="137" ht="18" customHeight="1" spans="1:11">
      <c r="A137" s="436">
        <v>131</v>
      </c>
      <c r="B137" s="10" t="s">
        <v>213</v>
      </c>
      <c r="C137" s="10" t="s">
        <v>44</v>
      </c>
      <c r="D137" s="10" t="s">
        <v>45</v>
      </c>
      <c r="E137" s="6" t="s">
        <v>49</v>
      </c>
      <c r="F137" s="10" t="s">
        <v>214</v>
      </c>
      <c r="G137" s="437"/>
      <c r="H137" s="437">
        <v>218</v>
      </c>
      <c r="I137" s="463"/>
      <c r="J137" s="461">
        <f t="shared" si="2"/>
        <v>491543.72</v>
      </c>
      <c r="K137" s="9"/>
    </row>
    <row r="138" ht="18" customHeight="1" spans="1:11">
      <c r="A138" s="436">
        <v>132</v>
      </c>
      <c r="B138" s="10" t="s">
        <v>213</v>
      </c>
      <c r="C138" s="10" t="s">
        <v>44</v>
      </c>
      <c r="D138" s="10" t="s">
        <v>45</v>
      </c>
      <c r="E138" s="6" t="s">
        <v>215</v>
      </c>
      <c r="F138" s="10" t="s">
        <v>163</v>
      </c>
      <c r="G138" s="437"/>
      <c r="H138" s="437">
        <v>118</v>
      </c>
      <c r="I138" s="463"/>
      <c r="J138" s="461">
        <f t="shared" si="2"/>
        <v>491661.72</v>
      </c>
      <c r="K138" s="9"/>
    </row>
    <row r="139" ht="18" customHeight="1" spans="1:11">
      <c r="A139" s="436">
        <v>133</v>
      </c>
      <c r="B139" s="10" t="s">
        <v>216</v>
      </c>
      <c r="C139" s="10" t="s">
        <v>18</v>
      </c>
      <c r="D139" s="10" t="s">
        <v>19</v>
      </c>
      <c r="E139" s="439" t="s">
        <v>20</v>
      </c>
      <c r="F139" s="10" t="s">
        <v>80</v>
      </c>
      <c r="G139" s="437"/>
      <c r="H139" s="437">
        <v>69</v>
      </c>
      <c r="I139" s="463"/>
      <c r="J139" s="461">
        <f t="shared" si="2"/>
        <v>491730.72</v>
      </c>
      <c r="K139" s="9"/>
    </row>
    <row r="140" ht="18" customHeight="1" spans="1:11">
      <c r="A140" s="436">
        <v>134</v>
      </c>
      <c r="B140" s="10" t="s">
        <v>216</v>
      </c>
      <c r="C140" s="10" t="s">
        <v>18</v>
      </c>
      <c r="D140" s="10" t="s">
        <v>19</v>
      </c>
      <c r="E140" s="439" t="s">
        <v>20</v>
      </c>
      <c r="F140" s="10" t="s">
        <v>152</v>
      </c>
      <c r="G140" s="437"/>
      <c r="H140" s="437">
        <v>69</v>
      </c>
      <c r="I140" s="463"/>
      <c r="J140" s="461">
        <f t="shared" si="2"/>
        <v>491799.72</v>
      </c>
      <c r="K140" s="9"/>
    </row>
    <row r="141" ht="18" customHeight="1" spans="1:11">
      <c r="A141" s="436">
        <v>135</v>
      </c>
      <c r="B141" s="10" t="s">
        <v>217</v>
      </c>
      <c r="C141" s="10"/>
      <c r="D141" s="440" t="s">
        <v>40</v>
      </c>
      <c r="E141" s="441"/>
      <c r="F141" s="442"/>
      <c r="G141" s="437"/>
      <c r="H141" s="437"/>
      <c r="I141" s="463">
        <v>3</v>
      </c>
      <c r="J141" s="461">
        <f t="shared" si="2"/>
        <v>491796.72</v>
      </c>
      <c r="K141" s="9"/>
    </row>
    <row r="142" ht="18" customHeight="1" spans="1:11">
      <c r="A142" s="436">
        <v>136</v>
      </c>
      <c r="B142" s="10" t="s">
        <v>218</v>
      </c>
      <c r="C142" s="10"/>
      <c r="D142" s="440" t="s">
        <v>219</v>
      </c>
      <c r="E142" s="441"/>
      <c r="F142" s="442"/>
      <c r="G142" s="437"/>
      <c r="H142" s="437"/>
      <c r="I142" s="463">
        <v>660</v>
      </c>
      <c r="J142" s="461">
        <f t="shared" si="2"/>
        <v>491136.72</v>
      </c>
      <c r="K142" s="9"/>
    </row>
    <row r="143" ht="18" customHeight="1" spans="1:11">
      <c r="A143" s="436">
        <v>137</v>
      </c>
      <c r="B143" s="10" t="s">
        <v>218</v>
      </c>
      <c r="C143" s="10" t="s">
        <v>220</v>
      </c>
      <c r="D143" s="10" t="s">
        <v>92</v>
      </c>
      <c r="E143" s="6" t="s">
        <v>221</v>
      </c>
      <c r="F143" s="10" t="s">
        <v>187</v>
      </c>
      <c r="G143" s="437"/>
      <c r="H143" s="437">
        <v>900</v>
      </c>
      <c r="I143" s="463"/>
      <c r="J143" s="461">
        <f t="shared" si="2"/>
        <v>492036.72</v>
      </c>
      <c r="K143" s="9"/>
    </row>
    <row r="144" ht="18" customHeight="1" spans="1:11">
      <c r="A144" s="436">
        <v>138</v>
      </c>
      <c r="B144" s="10" t="s">
        <v>218</v>
      </c>
      <c r="C144" s="10" t="s">
        <v>220</v>
      </c>
      <c r="D144" s="10" t="s">
        <v>92</v>
      </c>
      <c r="E144" s="6" t="s">
        <v>221</v>
      </c>
      <c r="F144" s="10" t="s">
        <v>137</v>
      </c>
      <c r="G144" s="437"/>
      <c r="H144" s="437">
        <v>911</v>
      </c>
      <c r="I144" s="463"/>
      <c r="J144" s="461">
        <f t="shared" si="2"/>
        <v>492947.72</v>
      </c>
      <c r="K144" s="9"/>
    </row>
    <row r="145" ht="18" customHeight="1" spans="1:11">
      <c r="A145" s="436">
        <v>139</v>
      </c>
      <c r="B145" s="10" t="s">
        <v>222</v>
      </c>
      <c r="C145" s="10" t="s">
        <v>220</v>
      </c>
      <c r="D145" s="10" t="s">
        <v>92</v>
      </c>
      <c r="E145" s="6" t="s">
        <v>221</v>
      </c>
      <c r="F145" s="10" t="s">
        <v>136</v>
      </c>
      <c r="G145" s="437"/>
      <c r="H145" s="437">
        <v>688</v>
      </c>
      <c r="I145" s="463"/>
      <c r="J145" s="461">
        <f t="shared" si="2"/>
        <v>493635.72</v>
      </c>
      <c r="K145" s="9"/>
    </row>
    <row r="146" ht="18" customHeight="1" spans="1:11">
      <c r="A146" s="436">
        <v>140</v>
      </c>
      <c r="B146" s="10" t="s">
        <v>222</v>
      </c>
      <c r="C146" s="10" t="s">
        <v>220</v>
      </c>
      <c r="D146" s="10" t="s">
        <v>92</v>
      </c>
      <c r="E146" s="6" t="s">
        <v>221</v>
      </c>
      <c r="F146" s="10" t="s">
        <v>137</v>
      </c>
      <c r="G146" s="437"/>
      <c r="H146" s="437">
        <v>699</v>
      </c>
      <c r="I146" s="463"/>
      <c r="J146" s="461">
        <f t="shared" si="2"/>
        <v>494334.72</v>
      </c>
      <c r="K146" s="9"/>
    </row>
    <row r="147" ht="18" customHeight="1" spans="1:11">
      <c r="A147" s="436">
        <v>141</v>
      </c>
      <c r="B147" s="10" t="s">
        <v>223</v>
      </c>
      <c r="C147" s="10" t="s">
        <v>224</v>
      </c>
      <c r="D147" s="10"/>
      <c r="E147" s="6" t="s">
        <v>142</v>
      </c>
      <c r="F147" s="10" t="s">
        <v>225</v>
      </c>
      <c r="G147" s="437"/>
      <c r="H147" s="437">
        <v>168</v>
      </c>
      <c r="I147" s="463"/>
      <c r="J147" s="461">
        <f t="shared" si="2"/>
        <v>494502.72</v>
      </c>
      <c r="K147" s="9"/>
    </row>
    <row r="148" ht="18" customHeight="1" spans="1:11">
      <c r="A148" s="436">
        <v>142</v>
      </c>
      <c r="B148" s="10" t="s">
        <v>223</v>
      </c>
      <c r="C148" s="10" t="s">
        <v>224</v>
      </c>
      <c r="D148" s="10"/>
      <c r="E148" s="6" t="s">
        <v>142</v>
      </c>
      <c r="F148" s="10" t="s">
        <v>225</v>
      </c>
      <c r="G148" s="437"/>
      <c r="H148" s="437">
        <v>168</v>
      </c>
      <c r="I148" s="463"/>
      <c r="J148" s="461">
        <f t="shared" si="2"/>
        <v>494670.72</v>
      </c>
      <c r="K148" s="9"/>
    </row>
    <row r="149" ht="18" customHeight="1" spans="1:11">
      <c r="A149" s="436">
        <v>143</v>
      </c>
      <c r="B149" s="10" t="s">
        <v>226</v>
      </c>
      <c r="C149" s="10" t="s">
        <v>227</v>
      </c>
      <c r="D149" s="10" t="s">
        <v>157</v>
      </c>
      <c r="E149" s="6" t="s">
        <v>39</v>
      </c>
      <c r="F149" s="10"/>
      <c r="G149" s="437">
        <v>1000</v>
      </c>
      <c r="H149" s="437"/>
      <c r="I149" s="463"/>
      <c r="J149" s="461">
        <f t="shared" si="2"/>
        <v>495670.72</v>
      </c>
      <c r="K149" s="9"/>
    </row>
    <row r="150" ht="18" customHeight="1" spans="1:11">
      <c r="A150" s="436">
        <v>144</v>
      </c>
      <c r="B150" s="10" t="s">
        <v>228</v>
      </c>
      <c r="C150" s="10" t="s">
        <v>224</v>
      </c>
      <c r="D150" s="10"/>
      <c r="E150" s="6" t="s">
        <v>142</v>
      </c>
      <c r="F150" s="10" t="s">
        <v>106</v>
      </c>
      <c r="G150" s="437"/>
      <c r="H150" s="437">
        <v>168</v>
      </c>
      <c r="I150" s="463"/>
      <c r="J150" s="461">
        <f t="shared" si="2"/>
        <v>495838.72</v>
      </c>
      <c r="K150" s="9"/>
    </row>
    <row r="151" ht="18" customHeight="1" spans="1:11">
      <c r="A151" s="436">
        <v>145</v>
      </c>
      <c r="B151" s="10" t="s">
        <v>228</v>
      </c>
      <c r="C151" s="10" t="s">
        <v>229</v>
      </c>
      <c r="D151" s="10" t="s">
        <v>88</v>
      </c>
      <c r="E151" s="6" t="s">
        <v>230</v>
      </c>
      <c r="F151" s="10" t="s">
        <v>187</v>
      </c>
      <c r="G151" s="437"/>
      <c r="H151" s="437">
        <v>138</v>
      </c>
      <c r="I151" s="463"/>
      <c r="J151" s="461">
        <f t="shared" si="2"/>
        <v>495976.72</v>
      </c>
      <c r="K151" s="9"/>
    </row>
    <row r="152" ht="18" customHeight="1" spans="1:11">
      <c r="A152" s="436">
        <v>143</v>
      </c>
      <c r="B152" s="10" t="s">
        <v>231</v>
      </c>
      <c r="C152" s="10"/>
      <c r="D152" s="440" t="s">
        <v>40</v>
      </c>
      <c r="E152" s="441"/>
      <c r="F152" s="442"/>
      <c r="G152" s="437"/>
      <c r="H152" s="437"/>
      <c r="I152" s="463">
        <v>3</v>
      </c>
      <c r="J152" s="461">
        <f t="shared" si="2"/>
        <v>495973.72</v>
      </c>
      <c r="K152" s="9"/>
    </row>
    <row r="153" ht="18" customHeight="1" spans="1:11">
      <c r="A153" s="436">
        <v>144</v>
      </c>
      <c r="B153" s="10" t="s">
        <v>232</v>
      </c>
      <c r="C153" s="10" t="s">
        <v>220</v>
      </c>
      <c r="D153" s="10" t="s">
        <v>92</v>
      </c>
      <c r="E153" s="6" t="s">
        <v>221</v>
      </c>
      <c r="F153" s="10" t="s">
        <v>56</v>
      </c>
      <c r="G153" s="437"/>
      <c r="H153" s="437">
        <v>688</v>
      </c>
      <c r="I153" s="463"/>
      <c r="J153" s="461">
        <f t="shared" si="2"/>
        <v>496661.72</v>
      </c>
      <c r="K153" s="9"/>
    </row>
    <row r="154" ht="18" customHeight="1" spans="1:11">
      <c r="A154" s="436">
        <v>145</v>
      </c>
      <c r="B154" s="10" t="s">
        <v>232</v>
      </c>
      <c r="C154" s="10" t="s">
        <v>229</v>
      </c>
      <c r="D154" s="10" t="s">
        <v>88</v>
      </c>
      <c r="E154" s="6" t="s">
        <v>230</v>
      </c>
      <c r="F154" s="10" t="s">
        <v>165</v>
      </c>
      <c r="G154" s="437"/>
      <c r="H154" s="437">
        <v>200</v>
      </c>
      <c r="I154" s="463"/>
      <c r="J154" s="461">
        <f t="shared" si="2"/>
        <v>496861.72</v>
      </c>
      <c r="K154" s="9"/>
    </row>
    <row r="155" ht="18" customHeight="1" spans="1:11">
      <c r="A155" s="436">
        <v>146</v>
      </c>
      <c r="B155" s="10" t="s">
        <v>233</v>
      </c>
      <c r="C155" s="10" t="s">
        <v>220</v>
      </c>
      <c r="D155" s="10" t="s">
        <v>92</v>
      </c>
      <c r="E155" s="6" t="s">
        <v>221</v>
      </c>
      <c r="F155" s="10" t="s">
        <v>34</v>
      </c>
      <c r="G155" s="437"/>
      <c r="H155" s="437">
        <v>666</v>
      </c>
      <c r="I155" s="463"/>
      <c r="J155" s="461">
        <f t="shared" si="2"/>
        <v>497527.72</v>
      </c>
      <c r="K155" s="9"/>
    </row>
    <row r="156" ht="18" customHeight="1" spans="1:11">
      <c r="A156" s="436">
        <v>147</v>
      </c>
      <c r="B156" s="10" t="s">
        <v>233</v>
      </c>
      <c r="C156" s="10" t="s">
        <v>229</v>
      </c>
      <c r="D156" s="10" t="s">
        <v>88</v>
      </c>
      <c r="E156" s="6" t="s">
        <v>234</v>
      </c>
      <c r="F156" s="10" t="s">
        <v>165</v>
      </c>
      <c r="G156" s="437"/>
      <c r="H156" s="437">
        <v>208</v>
      </c>
      <c r="I156" s="463"/>
      <c r="J156" s="461">
        <f t="shared" si="2"/>
        <v>497735.72</v>
      </c>
      <c r="K156" s="9"/>
    </row>
    <row r="157" ht="18" customHeight="1" spans="1:11">
      <c r="A157" s="436">
        <v>148</v>
      </c>
      <c r="B157" s="10" t="s">
        <v>235</v>
      </c>
      <c r="C157" s="10"/>
      <c r="D157" s="440" t="s">
        <v>236</v>
      </c>
      <c r="E157" s="441"/>
      <c r="F157" s="442"/>
      <c r="G157" s="437"/>
      <c r="H157" s="437"/>
      <c r="I157" s="463">
        <v>5000</v>
      </c>
      <c r="J157" s="461">
        <f t="shared" si="2"/>
        <v>492735.72</v>
      </c>
      <c r="K157" s="9"/>
    </row>
    <row r="158" ht="18" customHeight="1" spans="1:11">
      <c r="A158" s="436">
        <v>149</v>
      </c>
      <c r="B158" s="10" t="s">
        <v>237</v>
      </c>
      <c r="C158" s="10" t="s">
        <v>224</v>
      </c>
      <c r="D158" s="10"/>
      <c r="E158" s="6" t="s">
        <v>142</v>
      </c>
      <c r="F158" s="10" t="s">
        <v>170</v>
      </c>
      <c r="G158" s="437"/>
      <c r="H158" s="437">
        <v>118</v>
      </c>
      <c r="I158" s="463"/>
      <c r="J158" s="461">
        <f t="shared" si="2"/>
        <v>492853.72</v>
      </c>
      <c r="K158" s="9"/>
    </row>
    <row r="159" ht="18" customHeight="1" spans="1:11">
      <c r="A159" s="436">
        <v>150</v>
      </c>
      <c r="B159" s="10" t="s">
        <v>237</v>
      </c>
      <c r="C159" s="10" t="s">
        <v>229</v>
      </c>
      <c r="D159" s="10" t="s">
        <v>88</v>
      </c>
      <c r="E159" s="6" t="s">
        <v>238</v>
      </c>
      <c r="F159" s="10" t="s">
        <v>165</v>
      </c>
      <c r="G159" s="437"/>
      <c r="H159" s="437">
        <v>118</v>
      </c>
      <c r="I159" s="463"/>
      <c r="J159" s="461">
        <f t="shared" si="2"/>
        <v>492971.72</v>
      </c>
      <c r="K159" s="9"/>
    </row>
    <row r="160" ht="18" customHeight="1" spans="1:11">
      <c r="A160" s="436">
        <v>151</v>
      </c>
      <c r="B160" s="10" t="s">
        <v>239</v>
      </c>
      <c r="C160" s="10" t="s">
        <v>224</v>
      </c>
      <c r="D160" s="10"/>
      <c r="E160" s="6" t="s">
        <v>142</v>
      </c>
      <c r="F160" s="10" t="s">
        <v>178</v>
      </c>
      <c r="G160" s="437"/>
      <c r="H160" s="437">
        <v>168</v>
      </c>
      <c r="I160" s="463"/>
      <c r="J160" s="461">
        <f t="shared" si="2"/>
        <v>493139.72</v>
      </c>
      <c r="K160" s="9"/>
    </row>
    <row r="161" ht="18" customHeight="1" spans="1:11">
      <c r="A161" s="436">
        <v>152</v>
      </c>
      <c r="B161" s="10" t="s">
        <v>239</v>
      </c>
      <c r="C161" s="10" t="s">
        <v>18</v>
      </c>
      <c r="D161" s="10" t="s">
        <v>19</v>
      </c>
      <c r="E161" s="439" t="s">
        <v>20</v>
      </c>
      <c r="F161" s="10" t="s">
        <v>174</v>
      </c>
      <c r="G161" s="437"/>
      <c r="H161" s="437">
        <v>66</v>
      </c>
      <c r="I161" s="463"/>
      <c r="J161" s="461">
        <f t="shared" si="2"/>
        <v>493205.72</v>
      </c>
      <c r="K161" s="9"/>
    </row>
    <row r="162" ht="18" customHeight="1" spans="1:11">
      <c r="A162" s="436">
        <v>153</v>
      </c>
      <c r="B162" s="10" t="s">
        <v>240</v>
      </c>
      <c r="C162" s="10" t="s">
        <v>224</v>
      </c>
      <c r="D162" s="10"/>
      <c r="E162" s="6" t="s">
        <v>142</v>
      </c>
      <c r="F162" s="10" t="s">
        <v>21</v>
      </c>
      <c r="G162" s="437"/>
      <c r="H162" s="437">
        <v>188</v>
      </c>
      <c r="I162" s="463"/>
      <c r="J162" s="461">
        <f t="shared" si="2"/>
        <v>493393.72</v>
      </c>
      <c r="K162" s="9"/>
    </row>
    <row r="163" ht="18" customHeight="1" spans="1:11">
      <c r="A163" s="436">
        <v>154</v>
      </c>
      <c r="B163" s="10" t="s">
        <v>240</v>
      </c>
      <c r="C163" s="10" t="s">
        <v>18</v>
      </c>
      <c r="D163" s="10" t="s">
        <v>19</v>
      </c>
      <c r="E163" s="439" t="s">
        <v>20</v>
      </c>
      <c r="F163" s="10" t="s">
        <v>241</v>
      </c>
      <c r="G163" s="437"/>
      <c r="H163" s="437">
        <v>78</v>
      </c>
      <c r="I163" s="463"/>
      <c r="J163" s="461">
        <f t="shared" si="2"/>
        <v>493471.72</v>
      </c>
      <c r="K163" s="9"/>
    </row>
    <row r="164" ht="18" customHeight="1" spans="1:11">
      <c r="A164" s="436">
        <v>155</v>
      </c>
      <c r="B164" s="10" t="s">
        <v>240</v>
      </c>
      <c r="C164" s="10"/>
      <c r="D164" s="440" t="s">
        <v>40</v>
      </c>
      <c r="E164" s="441"/>
      <c r="F164" s="442"/>
      <c r="G164" s="437"/>
      <c r="H164" s="437"/>
      <c r="I164" s="463">
        <v>3</v>
      </c>
      <c r="J164" s="461">
        <f t="shared" si="2"/>
        <v>493468.72</v>
      </c>
      <c r="K164" s="9"/>
    </row>
    <row r="165" ht="18" customHeight="1" spans="1:11">
      <c r="A165" s="436">
        <v>156</v>
      </c>
      <c r="B165" s="10" t="s">
        <v>242</v>
      </c>
      <c r="C165" s="10" t="s">
        <v>30</v>
      </c>
      <c r="D165" s="10" t="s">
        <v>31</v>
      </c>
      <c r="E165" s="6" t="s">
        <v>243</v>
      </c>
      <c r="F165" s="10" t="s">
        <v>165</v>
      </c>
      <c r="G165" s="437"/>
      <c r="H165" s="437">
        <v>168</v>
      </c>
      <c r="I165" s="463"/>
      <c r="J165" s="461">
        <f t="shared" si="2"/>
        <v>493636.72</v>
      </c>
      <c r="K165" s="9"/>
    </row>
    <row r="166" ht="18" customHeight="1" spans="1:11">
      <c r="A166" s="436">
        <v>157</v>
      </c>
      <c r="B166" s="10" t="s">
        <v>242</v>
      </c>
      <c r="C166" s="10" t="s">
        <v>18</v>
      </c>
      <c r="D166" s="10" t="s">
        <v>19</v>
      </c>
      <c r="E166" s="439" t="s">
        <v>20</v>
      </c>
      <c r="F166" s="10" t="s">
        <v>244</v>
      </c>
      <c r="G166" s="437"/>
      <c r="H166" s="437">
        <v>128</v>
      </c>
      <c r="I166" s="463"/>
      <c r="J166" s="461">
        <f t="shared" si="2"/>
        <v>493764.72</v>
      </c>
      <c r="K166" s="9"/>
    </row>
    <row r="167" ht="18" customHeight="1" spans="1:11">
      <c r="A167" s="436">
        <v>158</v>
      </c>
      <c r="B167" s="10" t="s">
        <v>245</v>
      </c>
      <c r="C167" s="10"/>
      <c r="D167" s="440" t="s">
        <v>246</v>
      </c>
      <c r="E167" s="441"/>
      <c r="F167" s="442"/>
      <c r="G167" s="437"/>
      <c r="H167" s="437"/>
      <c r="I167" s="463">
        <v>20000</v>
      </c>
      <c r="J167" s="461">
        <f t="shared" si="2"/>
        <v>473764.72</v>
      </c>
      <c r="K167" s="9"/>
    </row>
    <row r="168" ht="18" customHeight="1" spans="1:11">
      <c r="A168" s="436">
        <v>159</v>
      </c>
      <c r="B168" s="10" t="s">
        <v>245</v>
      </c>
      <c r="C168" s="10"/>
      <c r="D168" s="440" t="s">
        <v>247</v>
      </c>
      <c r="E168" s="441"/>
      <c r="F168" s="442"/>
      <c r="G168" s="437"/>
      <c r="H168" s="437"/>
      <c r="I168" s="463">
        <v>20000</v>
      </c>
      <c r="J168" s="461">
        <f t="shared" si="2"/>
        <v>453764.72</v>
      </c>
      <c r="K168" s="9"/>
    </row>
    <row r="169" ht="18" customHeight="1" spans="1:11">
      <c r="A169" s="436">
        <v>160</v>
      </c>
      <c r="B169" s="10" t="s">
        <v>245</v>
      </c>
      <c r="C169" s="10"/>
      <c r="D169" s="440" t="s">
        <v>248</v>
      </c>
      <c r="E169" s="441"/>
      <c r="F169" s="442"/>
      <c r="G169" s="437"/>
      <c r="H169" s="437"/>
      <c r="I169" s="463">
        <v>20000</v>
      </c>
      <c r="J169" s="461">
        <f t="shared" si="2"/>
        <v>433764.72</v>
      </c>
      <c r="K169" s="9"/>
    </row>
    <row r="170" ht="18" customHeight="1" spans="1:11">
      <c r="A170" s="436">
        <v>161</v>
      </c>
      <c r="B170" s="10" t="s">
        <v>249</v>
      </c>
      <c r="C170" s="10" t="s">
        <v>44</v>
      </c>
      <c r="D170" s="10" t="s">
        <v>45</v>
      </c>
      <c r="E170" s="6" t="s">
        <v>250</v>
      </c>
      <c r="F170" s="10" t="s">
        <v>251</v>
      </c>
      <c r="G170" s="437"/>
      <c r="H170" s="437">
        <v>338</v>
      </c>
      <c r="I170" s="463"/>
      <c r="J170" s="461">
        <f t="shared" si="2"/>
        <v>434102.72</v>
      </c>
      <c r="K170" s="9"/>
    </row>
    <row r="171" ht="18" customHeight="1" spans="1:11">
      <c r="A171" s="436">
        <v>162</v>
      </c>
      <c r="B171" s="10" t="s">
        <v>249</v>
      </c>
      <c r="C171" s="10" t="s">
        <v>44</v>
      </c>
      <c r="D171" s="10" t="s">
        <v>45</v>
      </c>
      <c r="E171" s="6" t="s">
        <v>46</v>
      </c>
      <c r="F171" s="10" t="s">
        <v>251</v>
      </c>
      <c r="G171" s="437"/>
      <c r="H171" s="437">
        <v>555</v>
      </c>
      <c r="I171" s="463"/>
      <c r="J171" s="461">
        <f t="shared" si="2"/>
        <v>434657.72</v>
      </c>
      <c r="K171" s="9"/>
    </row>
    <row r="172" ht="18" customHeight="1" spans="1:11">
      <c r="A172" s="436">
        <v>163</v>
      </c>
      <c r="B172" s="10" t="s">
        <v>249</v>
      </c>
      <c r="C172" s="10" t="s">
        <v>44</v>
      </c>
      <c r="D172" s="10" t="s">
        <v>45</v>
      </c>
      <c r="E172" s="6" t="s">
        <v>215</v>
      </c>
      <c r="F172" s="10" t="s">
        <v>251</v>
      </c>
      <c r="G172" s="437"/>
      <c r="H172" s="437">
        <v>198</v>
      </c>
      <c r="I172" s="463"/>
      <c r="J172" s="461">
        <f t="shared" si="2"/>
        <v>434855.72</v>
      </c>
      <c r="K172" s="9"/>
    </row>
    <row r="173" ht="18" customHeight="1" spans="1:11">
      <c r="A173" s="436">
        <v>164</v>
      </c>
      <c r="B173" s="10" t="s">
        <v>252</v>
      </c>
      <c r="C173" s="10" t="s">
        <v>220</v>
      </c>
      <c r="D173" s="10" t="s">
        <v>92</v>
      </c>
      <c r="E173" s="6" t="s">
        <v>221</v>
      </c>
      <c r="F173" s="10" t="s">
        <v>187</v>
      </c>
      <c r="G173" s="437"/>
      <c r="H173" s="437">
        <v>668</v>
      </c>
      <c r="I173" s="463"/>
      <c r="J173" s="461">
        <f t="shared" si="2"/>
        <v>435523.72</v>
      </c>
      <c r="K173" s="9"/>
    </row>
    <row r="174" ht="18" customHeight="1" spans="1:11">
      <c r="A174" s="436">
        <v>165</v>
      </c>
      <c r="B174" s="10" t="s">
        <v>252</v>
      </c>
      <c r="C174" s="10" t="s">
        <v>44</v>
      </c>
      <c r="D174" s="10" t="s">
        <v>45</v>
      </c>
      <c r="E174" s="6" t="s">
        <v>250</v>
      </c>
      <c r="F174" s="10" t="s">
        <v>123</v>
      </c>
      <c r="G174" s="437"/>
      <c r="H174" s="437">
        <v>288</v>
      </c>
      <c r="I174" s="463"/>
      <c r="J174" s="461">
        <f t="shared" si="2"/>
        <v>435811.72</v>
      </c>
      <c r="K174" s="9"/>
    </row>
    <row r="175" ht="18" customHeight="1" spans="1:11">
      <c r="A175" s="436">
        <v>166</v>
      </c>
      <c r="B175" s="10" t="s">
        <v>253</v>
      </c>
      <c r="C175" s="10" t="s">
        <v>30</v>
      </c>
      <c r="D175" s="10" t="s">
        <v>31</v>
      </c>
      <c r="E175" s="6" t="s">
        <v>254</v>
      </c>
      <c r="F175" s="10" t="s">
        <v>152</v>
      </c>
      <c r="G175" s="437"/>
      <c r="H175" s="437">
        <v>200</v>
      </c>
      <c r="I175" s="463"/>
      <c r="J175" s="461">
        <f t="shared" si="2"/>
        <v>436011.72</v>
      </c>
      <c r="K175" s="9"/>
    </row>
    <row r="176" ht="18" customHeight="1" spans="1:11">
      <c r="A176" s="436">
        <v>167</v>
      </c>
      <c r="B176" s="10" t="s">
        <v>253</v>
      </c>
      <c r="C176" s="10" t="s">
        <v>30</v>
      </c>
      <c r="D176" s="10" t="s">
        <v>31</v>
      </c>
      <c r="E176" s="6" t="s">
        <v>254</v>
      </c>
      <c r="F176" s="10" t="s">
        <v>152</v>
      </c>
      <c r="G176" s="437"/>
      <c r="H176" s="437">
        <v>200</v>
      </c>
      <c r="I176" s="463"/>
      <c r="J176" s="461">
        <f t="shared" si="2"/>
        <v>436211.72</v>
      </c>
      <c r="K176" s="9"/>
    </row>
    <row r="177" ht="18" customHeight="1" spans="1:11">
      <c r="A177" s="436">
        <v>168</v>
      </c>
      <c r="B177" s="10" t="s">
        <v>253</v>
      </c>
      <c r="C177" s="10" t="s">
        <v>30</v>
      </c>
      <c r="D177" s="10" t="s">
        <v>31</v>
      </c>
      <c r="E177" s="6" t="s">
        <v>254</v>
      </c>
      <c r="F177" s="10" t="s">
        <v>152</v>
      </c>
      <c r="G177" s="437"/>
      <c r="H177" s="437">
        <v>200</v>
      </c>
      <c r="I177" s="463"/>
      <c r="J177" s="461">
        <f t="shared" si="2"/>
        <v>436411.72</v>
      </c>
      <c r="K177" s="9"/>
    </row>
    <row r="178" ht="18" customHeight="1" spans="1:11">
      <c r="A178" s="436">
        <v>169</v>
      </c>
      <c r="B178" s="10" t="s">
        <v>253</v>
      </c>
      <c r="C178" s="10" t="s">
        <v>255</v>
      </c>
      <c r="D178" s="10" t="s">
        <v>256</v>
      </c>
      <c r="E178" s="6" t="s">
        <v>257</v>
      </c>
      <c r="F178" s="10" t="s">
        <v>34</v>
      </c>
      <c r="G178" s="437"/>
      <c r="H178" s="437">
        <v>66</v>
      </c>
      <c r="I178" s="463"/>
      <c r="J178" s="461">
        <f t="shared" si="2"/>
        <v>436477.72</v>
      </c>
      <c r="K178" s="9"/>
    </row>
    <row r="179" ht="18" customHeight="1" spans="1:11">
      <c r="A179" s="436">
        <v>170</v>
      </c>
      <c r="B179" s="10" t="s">
        <v>253</v>
      </c>
      <c r="C179" s="10" t="s">
        <v>255</v>
      </c>
      <c r="D179" s="10" t="s">
        <v>256</v>
      </c>
      <c r="E179" s="6" t="s">
        <v>257</v>
      </c>
      <c r="F179" s="10" t="s">
        <v>185</v>
      </c>
      <c r="G179" s="437"/>
      <c r="H179" s="437">
        <v>60</v>
      </c>
      <c r="I179" s="463"/>
      <c r="J179" s="461">
        <f t="shared" si="2"/>
        <v>436537.72</v>
      </c>
      <c r="K179" s="9"/>
    </row>
    <row r="180" ht="18" customHeight="1" spans="1:11">
      <c r="A180" s="436">
        <v>171</v>
      </c>
      <c r="B180" s="10" t="s">
        <v>253</v>
      </c>
      <c r="C180" s="10" t="s">
        <v>255</v>
      </c>
      <c r="D180" s="10" t="s">
        <v>256</v>
      </c>
      <c r="E180" s="6" t="s">
        <v>257</v>
      </c>
      <c r="F180" s="10" t="s">
        <v>185</v>
      </c>
      <c r="G180" s="437"/>
      <c r="H180" s="437">
        <v>60</v>
      </c>
      <c r="I180" s="463"/>
      <c r="J180" s="461">
        <f t="shared" si="2"/>
        <v>436597.72</v>
      </c>
      <c r="K180" s="9"/>
    </row>
    <row r="181" ht="18" customHeight="1" spans="1:11">
      <c r="A181" s="436">
        <v>172</v>
      </c>
      <c r="B181" s="10" t="s">
        <v>253</v>
      </c>
      <c r="C181" s="10" t="s">
        <v>255</v>
      </c>
      <c r="D181" s="10" t="s">
        <v>256</v>
      </c>
      <c r="E181" s="6" t="s">
        <v>257</v>
      </c>
      <c r="F181" s="10" t="s">
        <v>258</v>
      </c>
      <c r="G181" s="437"/>
      <c r="H181" s="437">
        <v>48</v>
      </c>
      <c r="I181" s="463"/>
      <c r="J181" s="461">
        <f t="shared" si="2"/>
        <v>436645.72</v>
      </c>
      <c r="K181" s="9"/>
    </row>
    <row r="182" ht="18" customHeight="1" spans="1:11">
      <c r="A182" s="436">
        <v>173</v>
      </c>
      <c r="B182" s="10" t="s">
        <v>253</v>
      </c>
      <c r="C182" s="10" t="s">
        <v>255</v>
      </c>
      <c r="D182" s="10" t="s">
        <v>256</v>
      </c>
      <c r="E182" s="6" t="s">
        <v>257</v>
      </c>
      <c r="F182" s="10" t="s">
        <v>258</v>
      </c>
      <c r="G182" s="437"/>
      <c r="H182" s="437">
        <v>48</v>
      </c>
      <c r="I182" s="463"/>
      <c r="J182" s="461">
        <f t="shared" si="2"/>
        <v>436693.72</v>
      </c>
      <c r="K182" s="9"/>
    </row>
    <row r="183" ht="18" customHeight="1" spans="1:11">
      <c r="A183" s="436">
        <v>174</v>
      </c>
      <c r="B183" s="10"/>
      <c r="C183" s="10"/>
      <c r="D183" s="440" t="s">
        <v>40</v>
      </c>
      <c r="E183" s="441"/>
      <c r="F183" s="442"/>
      <c r="G183" s="437"/>
      <c r="H183" s="437"/>
      <c r="I183" s="463">
        <v>3</v>
      </c>
      <c r="J183" s="461">
        <f t="shared" si="2"/>
        <v>436690.72</v>
      </c>
      <c r="K183" s="9"/>
    </row>
    <row r="184" ht="18" customHeight="1" spans="1:11">
      <c r="A184" s="436">
        <v>175</v>
      </c>
      <c r="B184" s="10" t="s">
        <v>259</v>
      </c>
      <c r="C184" s="10" t="s">
        <v>220</v>
      </c>
      <c r="D184" s="10" t="s">
        <v>92</v>
      </c>
      <c r="E184" s="6" t="s">
        <v>221</v>
      </c>
      <c r="F184" s="10" t="s">
        <v>29</v>
      </c>
      <c r="G184" s="437"/>
      <c r="H184" s="437">
        <v>580</v>
      </c>
      <c r="I184" s="463"/>
      <c r="J184" s="461">
        <f t="shared" si="2"/>
        <v>437270.72</v>
      </c>
      <c r="K184" s="9"/>
    </row>
    <row r="185" ht="18" customHeight="1" spans="1:11">
      <c r="A185" s="436">
        <v>176</v>
      </c>
      <c r="B185" s="10" t="s">
        <v>259</v>
      </c>
      <c r="C185" s="10" t="s">
        <v>44</v>
      </c>
      <c r="D185" s="10" t="s">
        <v>45</v>
      </c>
      <c r="E185" s="6" t="s">
        <v>250</v>
      </c>
      <c r="F185" s="10" t="s">
        <v>260</v>
      </c>
      <c r="G185" s="437"/>
      <c r="H185" s="437">
        <v>188</v>
      </c>
      <c r="I185" s="463"/>
      <c r="J185" s="461">
        <f t="shared" si="2"/>
        <v>437458.72</v>
      </c>
      <c r="K185" s="9"/>
    </row>
    <row r="186" ht="18" customHeight="1" spans="1:11">
      <c r="A186" s="436">
        <v>177</v>
      </c>
      <c r="B186" s="10" t="s">
        <v>261</v>
      </c>
      <c r="C186" s="10" t="s">
        <v>262</v>
      </c>
      <c r="D186" s="10" t="s">
        <v>263</v>
      </c>
      <c r="E186" s="6" t="s">
        <v>39</v>
      </c>
      <c r="F186" s="10"/>
      <c r="G186" s="437">
        <v>500</v>
      </c>
      <c r="H186" s="437"/>
      <c r="I186" s="463"/>
      <c r="J186" s="461">
        <f t="shared" si="2"/>
        <v>437958.72</v>
      </c>
      <c r="K186" s="9"/>
    </row>
    <row r="187" ht="18" customHeight="1" spans="1:11">
      <c r="A187" s="436">
        <v>178</v>
      </c>
      <c r="B187" s="10" t="s">
        <v>264</v>
      </c>
      <c r="C187" s="10" t="s">
        <v>220</v>
      </c>
      <c r="D187" s="10" t="s">
        <v>92</v>
      </c>
      <c r="E187" s="6" t="s">
        <v>221</v>
      </c>
      <c r="F187" s="10" t="s">
        <v>187</v>
      </c>
      <c r="G187" s="437"/>
      <c r="H187" s="437">
        <v>777</v>
      </c>
      <c r="I187" s="463"/>
      <c r="J187" s="461">
        <f t="shared" si="2"/>
        <v>438735.72</v>
      </c>
      <c r="K187" s="9"/>
    </row>
    <row r="188" ht="18" customHeight="1" spans="1:11">
      <c r="A188" s="436">
        <v>179</v>
      </c>
      <c r="B188" s="10" t="s">
        <v>264</v>
      </c>
      <c r="C188" s="10" t="s">
        <v>44</v>
      </c>
      <c r="D188" s="10" t="s">
        <v>45</v>
      </c>
      <c r="E188" s="6" t="s">
        <v>250</v>
      </c>
      <c r="F188" s="10" t="s">
        <v>265</v>
      </c>
      <c r="G188" s="437"/>
      <c r="H188" s="437">
        <v>208</v>
      </c>
      <c r="I188" s="463"/>
      <c r="J188" s="461">
        <f t="shared" si="2"/>
        <v>438943.72</v>
      </c>
      <c r="K188" s="9"/>
    </row>
    <row r="189" ht="18" customHeight="1" spans="1:11">
      <c r="A189" s="436">
        <v>180</v>
      </c>
      <c r="B189" s="10" t="s">
        <v>266</v>
      </c>
      <c r="C189" s="10" t="s">
        <v>220</v>
      </c>
      <c r="D189" s="10" t="s">
        <v>92</v>
      </c>
      <c r="E189" s="6" t="s">
        <v>221</v>
      </c>
      <c r="F189" s="10" t="s">
        <v>29</v>
      </c>
      <c r="G189" s="437"/>
      <c r="H189" s="437">
        <v>666</v>
      </c>
      <c r="I189" s="463"/>
      <c r="J189" s="461">
        <f t="shared" si="2"/>
        <v>439609.72</v>
      </c>
      <c r="K189" s="9"/>
    </row>
    <row r="190" ht="18" customHeight="1" spans="1:11">
      <c r="A190" s="436">
        <v>181</v>
      </c>
      <c r="B190" s="10" t="s">
        <v>266</v>
      </c>
      <c r="C190" s="10" t="s">
        <v>44</v>
      </c>
      <c r="D190" s="10" t="s">
        <v>45</v>
      </c>
      <c r="E190" s="6" t="s">
        <v>46</v>
      </c>
      <c r="F190" s="10" t="s">
        <v>178</v>
      </c>
      <c r="G190" s="437"/>
      <c r="H190" s="437">
        <v>488</v>
      </c>
      <c r="I190" s="463"/>
      <c r="J190" s="461">
        <f t="shared" si="2"/>
        <v>440097.72</v>
      </c>
      <c r="K190" s="9"/>
    </row>
    <row r="191" ht="52.5" customHeight="1" spans="1:11">
      <c r="A191" s="465"/>
      <c r="B191" s="466"/>
      <c r="C191" s="467"/>
      <c r="D191" s="468"/>
      <c r="E191" s="469" t="s">
        <v>267</v>
      </c>
      <c r="F191" s="469" t="s">
        <v>268</v>
      </c>
      <c r="G191" s="470" t="s">
        <v>9</v>
      </c>
      <c r="H191" s="471" t="s">
        <v>10</v>
      </c>
      <c r="I191" s="480" t="s">
        <v>11</v>
      </c>
      <c r="J191" s="481" t="s">
        <v>12</v>
      </c>
      <c r="K191" s="9"/>
    </row>
    <row r="192" ht="30" customHeight="1" spans="1:11">
      <c r="A192" s="472"/>
      <c r="B192" s="473"/>
      <c r="C192" s="474"/>
      <c r="D192" s="475" t="s">
        <v>269</v>
      </c>
      <c r="E192" s="476">
        <f>F214+J214</f>
        <v>8856.21</v>
      </c>
      <c r="F192" s="477">
        <v>658597.84</v>
      </c>
      <c r="G192" s="478">
        <f>SUM(G7:G191)</f>
        <v>13452.88</v>
      </c>
      <c r="H192" s="479">
        <f>SUM(H6:H191)</f>
        <v>24011</v>
      </c>
      <c r="I192" s="482">
        <f>SUM(I7:I191)</f>
        <v>255964</v>
      </c>
      <c r="J192" s="483">
        <f>F192+G192+H192-I192</f>
        <v>440097.72</v>
      </c>
      <c r="K192" s="9"/>
    </row>
    <row r="193" ht="30" customHeight="1" spans="1:12">
      <c r="A193" s="484"/>
      <c r="B193" s="484"/>
      <c r="C193" s="485" t="s">
        <v>270</v>
      </c>
      <c r="D193" s="486"/>
      <c r="E193" s="487"/>
      <c r="F193" s="488" t="s">
        <v>271</v>
      </c>
      <c r="G193" s="489"/>
      <c r="H193" s="489"/>
      <c r="I193" s="627"/>
      <c r="J193" s="628">
        <f>E192+J192</f>
        <v>448953.93</v>
      </c>
      <c r="K193" s="9"/>
      <c r="L193">
        <v>448953.93</v>
      </c>
    </row>
    <row r="194" ht="30" customHeight="1" spans="1:11">
      <c r="A194" s="490"/>
      <c r="B194" s="490"/>
      <c r="C194" s="491"/>
      <c r="D194" s="492"/>
      <c r="E194" s="493"/>
      <c r="F194" s="494" t="s">
        <v>272</v>
      </c>
      <c r="G194" s="495"/>
      <c r="H194" s="495"/>
      <c r="I194" s="629"/>
      <c r="J194" s="630">
        <f>求助者善款发放安排!J46</f>
        <v>300000</v>
      </c>
      <c r="K194" s="9"/>
    </row>
    <row r="195" ht="30" customHeight="1" spans="1:11">
      <c r="A195" s="490"/>
      <c r="B195" s="490"/>
      <c r="C195" s="491"/>
      <c r="D195" s="492"/>
      <c r="E195" s="493"/>
      <c r="F195" s="494" t="s">
        <v>273</v>
      </c>
      <c r="G195" s="495"/>
      <c r="H195" s="495"/>
      <c r="I195" s="629"/>
      <c r="J195" s="630">
        <f>理事会基金!D64</f>
        <v>4558</v>
      </c>
      <c r="K195" s="9"/>
    </row>
    <row r="196" ht="35.25" customHeight="1" spans="1:11">
      <c r="A196" s="496"/>
      <c r="B196" s="496"/>
      <c r="C196" s="497"/>
      <c r="D196" s="498"/>
      <c r="E196" s="499"/>
      <c r="F196" s="500" t="s">
        <v>274</v>
      </c>
      <c r="G196" s="501"/>
      <c r="H196" s="501"/>
      <c r="I196" s="631"/>
      <c r="J196" s="632">
        <f>SUM(J193:J195)</f>
        <v>753511.93</v>
      </c>
      <c r="K196" s="9"/>
    </row>
    <row r="197" ht="30" customHeight="1" spans="1:11">
      <c r="A197" s="502"/>
      <c r="B197" s="503"/>
      <c r="C197" s="504" t="s">
        <v>275</v>
      </c>
      <c r="D197" s="505"/>
      <c r="E197" s="504" t="s">
        <v>276</v>
      </c>
      <c r="F197" s="505"/>
      <c r="G197" s="506" t="s">
        <v>277</v>
      </c>
      <c r="H197" s="507"/>
      <c r="I197" s="633" t="s">
        <v>278</v>
      </c>
      <c r="J197" s="634">
        <f>公帐收支明细!F48</f>
        <v>10195.63</v>
      </c>
      <c r="K197" s="9"/>
    </row>
    <row r="198" ht="30" customHeight="1" spans="1:11">
      <c r="A198" s="508"/>
      <c r="B198" s="509"/>
      <c r="C198" s="510"/>
      <c r="D198" s="511"/>
      <c r="E198" s="510"/>
      <c r="F198" s="511"/>
      <c r="G198" s="512" t="s">
        <v>279</v>
      </c>
      <c r="H198" s="513"/>
      <c r="I198" s="635" t="s">
        <v>280</v>
      </c>
      <c r="J198" s="636">
        <f>H230</f>
        <v>372292.71</v>
      </c>
      <c r="K198" s="9"/>
    </row>
    <row r="199" ht="30" customHeight="1" spans="1:11">
      <c r="A199" s="514"/>
      <c r="B199" s="515"/>
      <c r="C199" s="516"/>
      <c r="D199" s="517"/>
      <c r="E199" s="516"/>
      <c r="F199" s="517"/>
      <c r="G199" s="518"/>
      <c r="H199" s="519"/>
      <c r="I199" s="637" t="s">
        <v>278</v>
      </c>
      <c r="J199" s="638">
        <f>J196-J197-J198</f>
        <v>371023.59</v>
      </c>
      <c r="K199" s="9"/>
    </row>
    <row r="200" ht="20.25" customHeight="1" spans="1:11">
      <c r="A200" s="520"/>
      <c r="B200" s="521" t="s">
        <v>281</v>
      </c>
      <c r="C200" s="521"/>
      <c r="D200" s="521"/>
      <c r="E200" s="521"/>
      <c r="F200" s="521"/>
      <c r="G200" s="521"/>
      <c r="H200" s="521"/>
      <c r="I200" s="521"/>
      <c r="J200" s="521"/>
      <c r="K200" s="521"/>
    </row>
    <row r="201" ht="21" customHeight="1" spans="1:11">
      <c r="A201" s="520"/>
      <c r="B201" s="522" t="s">
        <v>282</v>
      </c>
      <c r="C201" s="522"/>
      <c r="D201" s="522"/>
      <c r="E201" s="522"/>
      <c r="F201" s="522"/>
      <c r="G201" s="522"/>
      <c r="H201" s="522"/>
      <c r="I201" s="522"/>
      <c r="J201" s="639"/>
      <c r="K201" s="9"/>
    </row>
    <row r="202" ht="21" customHeight="1" spans="1:11">
      <c r="A202" s="520"/>
      <c r="B202" s="522"/>
      <c r="C202" s="522"/>
      <c r="D202" s="522"/>
      <c r="E202" s="522"/>
      <c r="F202" s="522"/>
      <c r="G202" s="522"/>
      <c r="H202" s="522"/>
      <c r="I202" s="522"/>
      <c r="J202" s="639"/>
      <c r="K202" s="9"/>
    </row>
    <row r="203" ht="15" customHeight="1" spans="1:11">
      <c r="A203" s="520"/>
      <c r="B203" s="523"/>
      <c r="C203" s="523"/>
      <c r="D203" s="523"/>
      <c r="E203" s="523"/>
      <c r="F203" s="523"/>
      <c r="G203" s="523"/>
      <c r="H203" s="523"/>
      <c r="I203" s="523"/>
      <c r="J203" s="640"/>
      <c r="K203" s="9"/>
    </row>
    <row r="204" ht="16.5" customHeight="1" spans="1:11">
      <c r="A204" s="520"/>
      <c r="B204" s="523"/>
      <c r="C204" s="524"/>
      <c r="D204" s="524"/>
      <c r="E204" s="524"/>
      <c r="F204" s="523"/>
      <c r="G204" s="524"/>
      <c r="H204" s="523"/>
      <c r="I204" s="523"/>
      <c r="J204" s="640"/>
      <c r="K204" s="9"/>
    </row>
    <row r="205" ht="30" customHeight="1" spans="1:11">
      <c r="A205" s="525" t="s">
        <v>283</v>
      </c>
      <c r="B205" s="526"/>
      <c r="C205" s="526"/>
      <c r="D205" s="526"/>
      <c r="E205" s="526"/>
      <c r="F205" s="526"/>
      <c r="G205" s="527" t="s">
        <v>284</v>
      </c>
      <c r="H205" s="527"/>
      <c r="I205" s="527"/>
      <c r="J205" s="640"/>
      <c r="K205" s="9"/>
    </row>
    <row r="206" ht="23.1" customHeight="1" spans="1:12">
      <c r="A206" s="528" t="s">
        <v>285</v>
      </c>
      <c r="B206" s="529" t="s">
        <v>286</v>
      </c>
      <c r="C206" s="529" t="s">
        <v>287</v>
      </c>
      <c r="D206" s="529" t="s">
        <v>288</v>
      </c>
      <c r="E206" s="529"/>
      <c r="F206" s="530">
        <v>39.1</v>
      </c>
      <c r="G206" s="531" t="s">
        <v>289</v>
      </c>
      <c r="H206" s="532" t="s">
        <v>105</v>
      </c>
      <c r="I206" s="641" t="s">
        <v>290</v>
      </c>
      <c r="J206" s="642">
        <v>232.63</v>
      </c>
      <c r="K206" s="9"/>
      <c r="L206" s="9"/>
    </row>
    <row r="207" ht="23.1" customHeight="1" spans="1:12">
      <c r="A207" s="533"/>
      <c r="B207" s="534" t="s">
        <v>286</v>
      </c>
      <c r="C207" s="534" t="s">
        <v>291</v>
      </c>
      <c r="D207" s="534" t="s">
        <v>288</v>
      </c>
      <c r="E207" s="534"/>
      <c r="F207" s="535">
        <v>19.96</v>
      </c>
      <c r="G207" s="536"/>
      <c r="H207" s="537" t="s">
        <v>161</v>
      </c>
      <c r="I207" s="641" t="s">
        <v>292</v>
      </c>
      <c r="J207" s="643">
        <v>3637.83</v>
      </c>
      <c r="K207" s="9"/>
      <c r="L207" s="9"/>
    </row>
    <row r="208" ht="23.1" customHeight="1" spans="1:12">
      <c r="A208" s="533"/>
      <c r="B208" s="534" t="s">
        <v>293</v>
      </c>
      <c r="C208" s="534" t="s">
        <v>287</v>
      </c>
      <c r="D208" s="534" t="s">
        <v>294</v>
      </c>
      <c r="E208" s="534"/>
      <c r="F208" s="535">
        <v>75.5</v>
      </c>
      <c r="G208" s="536"/>
      <c r="H208" s="537" t="s">
        <v>167</v>
      </c>
      <c r="I208" s="641" t="s">
        <v>292</v>
      </c>
      <c r="J208" s="643">
        <v>2765.23</v>
      </c>
      <c r="K208" s="9"/>
      <c r="L208" s="9"/>
    </row>
    <row r="209" ht="23.1" customHeight="1" spans="1:12">
      <c r="A209" s="533"/>
      <c r="B209" s="534" t="s">
        <v>293</v>
      </c>
      <c r="C209" s="534" t="s">
        <v>291</v>
      </c>
      <c r="D209" s="534" t="s">
        <v>294</v>
      </c>
      <c r="E209" s="534"/>
      <c r="F209" s="535">
        <v>7.81</v>
      </c>
      <c r="G209" s="536"/>
      <c r="H209" s="537" t="s">
        <v>245</v>
      </c>
      <c r="I209" s="641" t="s">
        <v>290</v>
      </c>
      <c r="J209" s="643">
        <v>1989.08</v>
      </c>
      <c r="K209" s="9"/>
      <c r="L209" s="9"/>
    </row>
    <row r="210" ht="23.1" customHeight="1" spans="1:12">
      <c r="A210" s="533"/>
      <c r="B210" s="534" t="s">
        <v>295</v>
      </c>
      <c r="C210" s="534" t="s">
        <v>287</v>
      </c>
      <c r="D210" s="534" t="s">
        <v>296</v>
      </c>
      <c r="E210" s="534"/>
      <c r="F210" s="535">
        <v>44.84</v>
      </c>
      <c r="G210" s="536"/>
      <c r="H210" s="538"/>
      <c r="I210" s="644"/>
      <c r="J210" s="643"/>
      <c r="K210" s="645"/>
      <c r="L210" s="9"/>
    </row>
    <row r="211" ht="23.1" customHeight="1" spans="1:12">
      <c r="A211" s="533"/>
      <c r="B211" s="534" t="s">
        <v>295</v>
      </c>
      <c r="C211" s="534" t="s">
        <v>291</v>
      </c>
      <c r="D211" s="534" t="s">
        <v>296</v>
      </c>
      <c r="E211" s="534"/>
      <c r="F211" s="535"/>
      <c r="G211" s="536"/>
      <c r="H211" s="538"/>
      <c r="I211" s="644"/>
      <c r="J211" s="643"/>
      <c r="K211" s="645"/>
      <c r="L211" s="9"/>
    </row>
    <row r="212" ht="23.1" customHeight="1" spans="1:12">
      <c r="A212" s="533"/>
      <c r="B212" s="534" t="s">
        <v>297</v>
      </c>
      <c r="C212" s="534" t="s">
        <v>287</v>
      </c>
      <c r="D212" s="534" t="s">
        <v>298</v>
      </c>
      <c r="E212" s="534"/>
      <c r="F212" s="535">
        <v>44.23</v>
      </c>
      <c r="G212" s="536"/>
      <c r="H212" s="538"/>
      <c r="I212" s="644"/>
      <c r="J212" s="643"/>
      <c r="K212" s="645"/>
      <c r="L212" s="9"/>
    </row>
    <row r="213" ht="23.1" customHeight="1" spans="1:12">
      <c r="A213" s="533"/>
      <c r="B213" s="539" t="s">
        <v>297</v>
      </c>
      <c r="C213" s="534" t="s">
        <v>291</v>
      </c>
      <c r="D213" s="534" t="s">
        <v>298</v>
      </c>
      <c r="E213" s="534"/>
      <c r="F213" s="535"/>
      <c r="G213" s="536"/>
      <c r="H213" s="538"/>
      <c r="I213" s="644"/>
      <c r="J213" s="643"/>
      <c r="K213" s="645"/>
      <c r="L213" s="9"/>
    </row>
    <row r="214" ht="23.1" customHeight="1" spans="1:12">
      <c r="A214" s="540"/>
      <c r="B214" s="541"/>
      <c r="C214" s="542"/>
      <c r="D214" s="542"/>
      <c r="E214" s="543" t="s">
        <v>299</v>
      </c>
      <c r="F214" s="544">
        <f>SUM(F206:F213)</f>
        <v>231.44</v>
      </c>
      <c r="G214" s="545"/>
      <c r="H214" s="546"/>
      <c r="I214" s="646" t="s">
        <v>300</v>
      </c>
      <c r="J214" s="647">
        <f>SUM(J206:J213)</f>
        <v>8624.77</v>
      </c>
      <c r="K214" s="645"/>
      <c r="L214" s="9"/>
    </row>
    <row r="215" ht="23.1" customHeight="1" spans="1:11">
      <c r="A215" s="547"/>
      <c r="B215" s="362"/>
      <c r="C215" s="548"/>
      <c r="D215" s="548"/>
      <c r="E215" s="548"/>
      <c r="F215" s="549"/>
      <c r="G215" s="550"/>
      <c r="H215" s="551"/>
      <c r="I215" s="551"/>
      <c r="J215" s="645"/>
      <c r="K215" s="9"/>
    </row>
    <row r="216" s="419" customFormat="1" ht="28.5" customHeight="1" spans="1:10">
      <c r="A216" s="552" t="s">
        <v>301</v>
      </c>
      <c r="B216" s="552"/>
      <c r="C216" s="552"/>
      <c r="D216" s="552"/>
      <c r="E216" s="552"/>
      <c r="F216" s="552"/>
      <c r="G216" s="553" t="s">
        <v>284</v>
      </c>
      <c r="H216" s="553"/>
      <c r="I216" s="553"/>
      <c r="J216" s="318"/>
    </row>
    <row r="217" ht="23.1" customHeight="1" spans="1:9">
      <c r="A217" s="554" t="s">
        <v>302</v>
      </c>
      <c r="B217" s="555" t="s">
        <v>303</v>
      </c>
      <c r="C217" s="556" t="s">
        <v>304</v>
      </c>
      <c r="D217" s="557">
        <v>100000</v>
      </c>
      <c r="E217" s="558" t="s">
        <v>305</v>
      </c>
      <c r="F217" s="559" t="s">
        <v>306</v>
      </c>
      <c r="G217" s="560" t="s">
        <v>307</v>
      </c>
      <c r="H217" s="561">
        <v>101750</v>
      </c>
      <c r="I217" s="648" t="s">
        <v>305</v>
      </c>
    </row>
    <row r="218" ht="23.1" customHeight="1" spans="1:9">
      <c r="A218" s="562"/>
      <c r="B218" s="563" t="s">
        <v>303</v>
      </c>
      <c r="C218" s="564" t="s">
        <v>304</v>
      </c>
      <c r="D218" s="564">
        <v>100000</v>
      </c>
      <c r="E218" s="565" t="s">
        <v>305</v>
      </c>
      <c r="F218" s="563" t="s">
        <v>306</v>
      </c>
      <c r="G218" s="566" t="s">
        <v>307</v>
      </c>
      <c r="H218" s="564">
        <v>101750</v>
      </c>
      <c r="I218" s="649" t="s">
        <v>305</v>
      </c>
    </row>
    <row r="219" ht="23.1" customHeight="1" spans="1:9">
      <c r="A219" s="562"/>
      <c r="B219" s="567" t="s">
        <v>303</v>
      </c>
      <c r="C219" s="568" t="s">
        <v>304</v>
      </c>
      <c r="D219" s="568">
        <v>150000</v>
      </c>
      <c r="E219" s="569" t="s">
        <v>305</v>
      </c>
      <c r="F219" s="570" t="s">
        <v>306</v>
      </c>
      <c r="G219" s="571" t="s">
        <v>307</v>
      </c>
      <c r="H219" s="572">
        <v>152625</v>
      </c>
      <c r="I219" s="650" t="s">
        <v>305</v>
      </c>
    </row>
    <row r="220" ht="23.1" customHeight="1" spans="1:9">
      <c r="A220" s="562"/>
      <c r="B220" s="573" t="s">
        <v>308</v>
      </c>
      <c r="C220" s="574" t="s">
        <v>304</v>
      </c>
      <c r="D220" s="575">
        <v>200000</v>
      </c>
      <c r="E220" s="576" t="s">
        <v>309</v>
      </c>
      <c r="F220" s="577" t="s">
        <v>310</v>
      </c>
      <c r="G220" s="578" t="s">
        <v>307</v>
      </c>
      <c r="H220" s="579">
        <v>203900</v>
      </c>
      <c r="I220" s="651" t="s">
        <v>309</v>
      </c>
    </row>
    <row r="221" ht="23.1" customHeight="1" spans="1:9">
      <c r="A221" s="562"/>
      <c r="B221" s="580"/>
      <c r="C221" s="581"/>
      <c r="D221" s="582"/>
      <c r="E221" s="583"/>
      <c r="F221" s="584" t="s">
        <v>311</v>
      </c>
      <c r="G221" s="585" t="s">
        <v>307</v>
      </c>
      <c r="H221" s="586">
        <v>103530.63</v>
      </c>
      <c r="I221" s="652" t="s">
        <v>305</v>
      </c>
    </row>
    <row r="222" ht="23.1" customHeight="1" spans="1:9">
      <c r="A222" s="562"/>
      <c r="B222" s="587"/>
      <c r="C222" s="588"/>
      <c r="D222" s="589"/>
      <c r="E222" s="590"/>
      <c r="F222" s="591" t="s">
        <v>311</v>
      </c>
      <c r="G222" s="592" t="s">
        <v>307</v>
      </c>
      <c r="H222" s="593">
        <v>103530.63</v>
      </c>
      <c r="I222" s="653" t="s">
        <v>305</v>
      </c>
    </row>
    <row r="223" ht="23.1" customHeight="1" spans="1:9">
      <c r="A223" s="562"/>
      <c r="B223" s="594"/>
      <c r="C223" s="595"/>
      <c r="D223" s="596"/>
      <c r="E223" s="590"/>
      <c r="F223" s="597" t="s">
        <v>311</v>
      </c>
      <c r="G223" s="598" t="s">
        <v>307</v>
      </c>
      <c r="H223" s="599">
        <v>155295.94</v>
      </c>
      <c r="I223" s="654" t="s">
        <v>305</v>
      </c>
    </row>
    <row r="224" ht="30" customHeight="1" spans="1:9">
      <c r="A224" s="600"/>
      <c r="B224" s="601"/>
      <c r="C224" s="602"/>
      <c r="D224" s="603" t="s">
        <v>312</v>
      </c>
      <c r="E224" s="603"/>
      <c r="F224" s="603"/>
      <c r="G224" s="603"/>
      <c r="H224" s="604">
        <f>SUM(H220:H223)</f>
        <v>566257.2</v>
      </c>
      <c r="I224" s="655"/>
    </row>
    <row r="225" ht="24.9" customHeight="1" spans="1:10">
      <c r="A225" s="600"/>
      <c r="B225" s="605" t="s">
        <v>313</v>
      </c>
      <c r="C225" s="606" t="s">
        <v>307</v>
      </c>
      <c r="D225" s="607">
        <v>105342.41</v>
      </c>
      <c r="E225" s="608" t="s">
        <v>305</v>
      </c>
      <c r="F225" s="609" t="s">
        <v>245</v>
      </c>
      <c r="G225" s="609" t="s">
        <v>290</v>
      </c>
      <c r="H225" s="607">
        <v>107331.49</v>
      </c>
      <c r="I225" s="656"/>
      <c r="J225" s="166"/>
    </row>
    <row r="226" ht="24.9" customHeight="1" spans="1:10">
      <c r="A226" s="600"/>
      <c r="B226" s="605" t="s">
        <v>313</v>
      </c>
      <c r="C226" s="606" t="s">
        <v>307</v>
      </c>
      <c r="D226" s="607">
        <v>105342.41</v>
      </c>
      <c r="E226" s="608" t="s">
        <v>305</v>
      </c>
      <c r="F226" s="609" t="s">
        <v>105</v>
      </c>
      <c r="G226" s="609" t="s">
        <v>290</v>
      </c>
      <c r="H226" s="607">
        <v>105575.04</v>
      </c>
      <c r="I226" s="657"/>
      <c r="J226" s="166"/>
    </row>
    <row r="227" s="419" customFormat="1" ht="16.8" customHeight="1" spans="1:10">
      <c r="A227" s="610"/>
      <c r="B227" s="611"/>
      <c r="C227" s="612"/>
      <c r="D227" s="613"/>
      <c r="E227" s="614"/>
      <c r="F227" s="615"/>
      <c r="G227" s="615"/>
      <c r="H227" s="613"/>
      <c r="I227" s="658"/>
      <c r="J227" s="551"/>
    </row>
    <row r="228" ht="28.2" customHeight="1" spans="1:9">
      <c r="A228" s="616"/>
      <c r="B228" s="617" t="s">
        <v>314</v>
      </c>
      <c r="C228" s="618" t="s">
        <v>307</v>
      </c>
      <c r="D228" s="619">
        <v>207876.05</v>
      </c>
      <c r="E228" s="620" t="s">
        <v>309</v>
      </c>
      <c r="F228" s="621" t="s">
        <v>161</v>
      </c>
      <c r="G228" s="621" t="s">
        <v>307</v>
      </c>
      <c r="H228" s="622">
        <v>211513.88</v>
      </c>
      <c r="I228" s="659"/>
    </row>
    <row r="229" ht="26.4" customHeight="1" spans="2:9">
      <c r="B229" s="617" t="s">
        <v>313</v>
      </c>
      <c r="C229" s="618" t="s">
        <v>307</v>
      </c>
      <c r="D229" s="619">
        <v>158013.6</v>
      </c>
      <c r="E229" s="620" t="s">
        <v>305</v>
      </c>
      <c r="F229" s="621" t="s">
        <v>167</v>
      </c>
      <c r="G229" s="621" t="s">
        <v>307</v>
      </c>
      <c r="H229" s="622">
        <v>160778.83</v>
      </c>
      <c r="I229" s="659"/>
    </row>
    <row r="230" ht="29.4" customHeight="1" spans="2:9">
      <c r="B230" s="623"/>
      <c r="C230" s="624"/>
      <c r="D230" s="625" t="s">
        <v>315</v>
      </c>
      <c r="E230" s="625"/>
      <c r="F230" s="625"/>
      <c r="G230" s="625"/>
      <c r="H230" s="626">
        <f>SUM(H228:H229)</f>
        <v>372292.71</v>
      </c>
      <c r="I230" s="660"/>
    </row>
  </sheetData>
  <mergeCells count="71">
    <mergeCell ref="B4:C4"/>
    <mergeCell ref="D4:I4"/>
    <mergeCell ref="B6:F6"/>
    <mergeCell ref="D13:F13"/>
    <mergeCell ref="D15:F15"/>
    <mergeCell ref="D16:F16"/>
    <mergeCell ref="D20:F20"/>
    <mergeCell ref="D21:F21"/>
    <mergeCell ref="D25:F25"/>
    <mergeCell ref="D26:F26"/>
    <mergeCell ref="D27:F27"/>
    <mergeCell ref="D31:F31"/>
    <mergeCell ref="D32:F32"/>
    <mergeCell ref="D33:F33"/>
    <mergeCell ref="D34:F34"/>
    <mergeCell ref="D37:F37"/>
    <mergeCell ref="D38:F38"/>
    <mergeCell ref="D40:F40"/>
    <mergeCell ref="D55:F55"/>
    <mergeCell ref="D68:F68"/>
    <mergeCell ref="D69:F69"/>
    <mergeCell ref="D80:F80"/>
    <mergeCell ref="D93:F93"/>
    <mergeCell ref="D98:F98"/>
    <mergeCell ref="D106:F106"/>
    <mergeCell ref="D115:F115"/>
    <mergeCell ref="D116:F116"/>
    <mergeCell ref="D121:F121"/>
    <mergeCell ref="D126:F126"/>
    <mergeCell ref="D141:F141"/>
    <mergeCell ref="D142:F142"/>
    <mergeCell ref="D152:F152"/>
    <mergeCell ref="D157:F157"/>
    <mergeCell ref="D164:F164"/>
    <mergeCell ref="D167:F167"/>
    <mergeCell ref="D168:F168"/>
    <mergeCell ref="D169:F169"/>
    <mergeCell ref="D183:F183"/>
    <mergeCell ref="F193:I193"/>
    <mergeCell ref="F194:I194"/>
    <mergeCell ref="F195:I195"/>
    <mergeCell ref="F196:I196"/>
    <mergeCell ref="G197:H197"/>
    <mergeCell ref="B200:K200"/>
    <mergeCell ref="B201:I201"/>
    <mergeCell ref="A205:F205"/>
    <mergeCell ref="G205:I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A216:F216"/>
    <mergeCell ref="G216:I216"/>
    <mergeCell ref="D224:G224"/>
    <mergeCell ref="D230:G230"/>
    <mergeCell ref="A193:A196"/>
    <mergeCell ref="A197:A199"/>
    <mergeCell ref="A206:A213"/>
    <mergeCell ref="A217:A226"/>
    <mergeCell ref="B193:B196"/>
    <mergeCell ref="B197:B199"/>
    <mergeCell ref="G206:G213"/>
    <mergeCell ref="C197:D199"/>
    <mergeCell ref="E197:F199"/>
    <mergeCell ref="C193:E196"/>
    <mergeCell ref="G198:H199"/>
    <mergeCell ref="A1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0"/>
  <sheetViews>
    <sheetView zoomScale="110" zoomScaleNormal="110" topLeftCell="A25" workbookViewId="0">
      <selection activeCell="F41" sqref="F41"/>
    </sheetView>
  </sheetViews>
  <sheetFormatPr defaultColWidth="10" defaultRowHeight="13.5"/>
  <cols>
    <col min="2" max="2" width="14.775" customWidth="1"/>
    <col min="3" max="3" width="17.4416666666667" customWidth="1"/>
    <col min="4" max="4" width="17" customWidth="1"/>
    <col min="5" max="5" width="16.3333333333333" customWidth="1"/>
    <col min="6" max="6" width="17.775" customWidth="1"/>
    <col min="7" max="7" width="19.4416666666667" customWidth="1"/>
    <col min="8" max="8" width="14.1083333333333" customWidth="1"/>
    <col min="9" max="9" width="16.6666666666667" customWidth="1"/>
    <col min="10" max="10" width="17.6666666666667" customWidth="1"/>
  </cols>
  <sheetData>
    <row r="1" ht="26.25" customHeight="1" spans="1:10">
      <c r="A1" s="280" t="s">
        <v>316</v>
      </c>
      <c r="B1" s="281"/>
      <c r="C1" s="281"/>
      <c r="D1" s="281"/>
      <c r="E1" s="281"/>
      <c r="F1" s="281"/>
      <c r="G1" s="281"/>
      <c r="H1" s="281"/>
      <c r="I1" s="281"/>
      <c r="J1" s="281"/>
    </row>
    <row r="2" ht="21.75" customHeight="1" spans="1:10">
      <c r="A2" s="282"/>
      <c r="B2" s="283"/>
      <c r="C2" s="283"/>
      <c r="D2" s="283"/>
      <c r="E2" s="283"/>
      <c r="F2" s="283"/>
      <c r="G2" s="283"/>
      <c r="H2" s="283"/>
      <c r="I2" s="283"/>
      <c r="J2" s="283"/>
    </row>
    <row r="3" ht="21.75" customHeight="1" spans="1:10">
      <c r="A3" s="284"/>
      <c r="B3" s="285"/>
      <c r="C3" s="285"/>
      <c r="D3" s="285"/>
      <c r="E3" s="285"/>
      <c r="F3" s="284"/>
      <c r="G3" s="284"/>
      <c r="H3" s="284"/>
      <c r="I3" s="284"/>
      <c r="J3" s="284"/>
    </row>
    <row r="4" spans="2:10">
      <c r="B4" s="286" t="s">
        <v>317</v>
      </c>
      <c r="C4" s="286"/>
      <c r="D4" s="286"/>
      <c r="E4" s="286"/>
      <c r="F4" s="286"/>
      <c r="G4" s="286"/>
      <c r="H4" s="286"/>
      <c r="I4" s="286"/>
      <c r="J4" s="286"/>
    </row>
    <row r="5" ht="18" customHeight="1" spans="1:10">
      <c r="A5" s="287"/>
      <c r="B5" s="286"/>
      <c r="C5" s="286"/>
      <c r="D5" s="286"/>
      <c r="E5" s="286"/>
      <c r="F5" s="286"/>
      <c r="G5" s="286"/>
      <c r="H5" s="286"/>
      <c r="I5" s="286"/>
      <c r="J5" s="286"/>
    </row>
    <row r="6" ht="31.5" customHeight="1" spans="1:11">
      <c r="A6" s="288" t="s">
        <v>318</v>
      </c>
      <c r="B6" s="289" t="s">
        <v>319</v>
      </c>
      <c r="C6" s="290" t="s">
        <v>320</v>
      </c>
      <c r="D6" s="290" t="s">
        <v>321</v>
      </c>
      <c r="E6" s="290" t="s">
        <v>322</v>
      </c>
      <c r="F6" s="291" t="s">
        <v>323</v>
      </c>
      <c r="G6" s="292" t="s">
        <v>324</v>
      </c>
      <c r="H6" s="290" t="s">
        <v>325</v>
      </c>
      <c r="I6" s="290"/>
      <c r="J6" s="290"/>
      <c r="K6" s="383"/>
    </row>
    <row r="7" ht="17.1" customHeight="1" spans="1:11">
      <c r="A7" s="293">
        <v>1</v>
      </c>
      <c r="B7" s="294" t="s">
        <v>326</v>
      </c>
      <c r="C7" s="295">
        <v>86012.94</v>
      </c>
      <c r="D7" s="295">
        <v>5512.94</v>
      </c>
      <c r="E7" s="295" t="s">
        <v>327</v>
      </c>
      <c r="F7" s="295">
        <v>3500</v>
      </c>
      <c r="G7" s="296">
        <v>24</v>
      </c>
      <c r="H7" s="297" t="s">
        <v>328</v>
      </c>
      <c r="I7" s="297"/>
      <c r="J7" s="297"/>
      <c r="K7" s="384" t="s">
        <v>329</v>
      </c>
    </row>
    <row r="8" ht="17.1" customHeight="1" spans="1:11">
      <c r="A8" s="293">
        <v>2</v>
      </c>
      <c r="B8" s="294" t="s">
        <v>330</v>
      </c>
      <c r="C8" s="295">
        <v>70832.88</v>
      </c>
      <c r="D8" s="295">
        <v>4332.88</v>
      </c>
      <c r="E8" s="295" t="s">
        <v>331</v>
      </c>
      <c r="F8" s="295">
        <v>3500</v>
      </c>
      <c r="G8" s="296">
        <v>20</v>
      </c>
      <c r="H8" s="297" t="s">
        <v>328</v>
      </c>
      <c r="I8" s="297"/>
      <c r="J8" s="297"/>
      <c r="K8" s="384" t="s">
        <v>329</v>
      </c>
    </row>
    <row r="9" ht="17.1" customHeight="1" spans="1:11">
      <c r="A9" s="293">
        <v>3</v>
      </c>
      <c r="B9" s="294" t="s">
        <v>332</v>
      </c>
      <c r="C9" s="295">
        <v>67330.7</v>
      </c>
      <c r="D9" s="295">
        <v>10477.06</v>
      </c>
      <c r="E9" s="295" t="s">
        <v>333</v>
      </c>
      <c r="F9" s="295">
        <v>3500</v>
      </c>
      <c r="G9" s="296">
        <v>17</v>
      </c>
      <c r="H9" s="297" t="s">
        <v>334</v>
      </c>
      <c r="I9" s="297"/>
      <c r="J9" s="297"/>
      <c r="K9" s="384" t="s">
        <v>329</v>
      </c>
    </row>
    <row r="10" ht="34.5" customHeight="1" spans="1:11">
      <c r="A10" s="293">
        <v>4</v>
      </c>
      <c r="B10" s="298" t="s">
        <v>335</v>
      </c>
      <c r="C10" s="299">
        <v>80000</v>
      </c>
      <c r="D10" s="299">
        <v>15000</v>
      </c>
      <c r="E10" s="299" t="s">
        <v>336</v>
      </c>
      <c r="F10" s="300"/>
      <c r="G10" s="301">
        <v>8</v>
      </c>
      <c r="H10" s="302" t="s">
        <v>337</v>
      </c>
      <c r="I10" s="385"/>
      <c r="J10" s="386"/>
      <c r="K10" s="384"/>
    </row>
    <row r="11" ht="17.1" customHeight="1" spans="1:11">
      <c r="A11" s="293">
        <v>5</v>
      </c>
      <c r="B11" s="303" t="s">
        <v>338</v>
      </c>
      <c r="C11" s="300">
        <v>20000</v>
      </c>
      <c r="D11" s="300">
        <v>5000</v>
      </c>
      <c r="E11" s="299" t="s">
        <v>339</v>
      </c>
      <c r="F11" s="300">
        <v>3000</v>
      </c>
      <c r="G11" s="301">
        <v>6</v>
      </c>
      <c r="H11" s="304" t="s">
        <v>340</v>
      </c>
      <c r="I11" s="304"/>
      <c r="J11" s="304"/>
      <c r="K11" s="384" t="s">
        <v>329</v>
      </c>
    </row>
    <row r="12" ht="17.1" customHeight="1" spans="1:11">
      <c r="A12" s="293">
        <v>6</v>
      </c>
      <c r="B12" s="303" t="s">
        <v>341</v>
      </c>
      <c r="C12" s="305">
        <v>10000</v>
      </c>
      <c r="D12" s="305">
        <v>5000</v>
      </c>
      <c r="E12" s="299" t="s">
        <v>342</v>
      </c>
      <c r="F12" s="305"/>
      <c r="G12" s="301">
        <v>2</v>
      </c>
      <c r="H12" s="304" t="s">
        <v>343</v>
      </c>
      <c r="I12" s="304"/>
      <c r="J12" s="304"/>
      <c r="K12" s="384" t="s">
        <v>329</v>
      </c>
    </row>
    <row r="13" ht="17.1" customHeight="1" spans="1:11">
      <c r="A13" s="293">
        <v>7</v>
      </c>
      <c r="B13" s="303" t="s">
        <v>344</v>
      </c>
      <c r="C13" s="305">
        <v>15000</v>
      </c>
      <c r="D13" s="305">
        <v>1500</v>
      </c>
      <c r="E13" s="299"/>
      <c r="F13" s="305">
        <v>1500</v>
      </c>
      <c r="G13" s="301">
        <v>10</v>
      </c>
      <c r="H13" s="304"/>
      <c r="I13" s="304"/>
      <c r="J13" s="304"/>
      <c r="K13" s="384" t="s">
        <v>329</v>
      </c>
    </row>
    <row r="14" ht="17.1" customHeight="1" spans="1:11">
      <c r="A14" s="293">
        <v>8</v>
      </c>
      <c r="B14" s="303" t="s">
        <v>345</v>
      </c>
      <c r="C14" s="305">
        <v>61219</v>
      </c>
      <c r="D14" s="305">
        <v>30000</v>
      </c>
      <c r="E14" s="299" t="s">
        <v>346</v>
      </c>
      <c r="F14" s="305"/>
      <c r="G14" s="303"/>
      <c r="H14" s="304" t="s">
        <v>347</v>
      </c>
      <c r="I14" s="304"/>
      <c r="J14" s="304"/>
      <c r="K14" s="384" t="s">
        <v>329</v>
      </c>
    </row>
    <row r="15" ht="17.1" customHeight="1" spans="1:11">
      <c r="A15" s="293">
        <v>9</v>
      </c>
      <c r="B15" s="303" t="s">
        <v>348</v>
      </c>
      <c r="C15" s="305">
        <v>20000</v>
      </c>
      <c r="D15" s="305">
        <v>1000</v>
      </c>
      <c r="E15" s="299" t="s">
        <v>349</v>
      </c>
      <c r="F15" s="305">
        <v>1000</v>
      </c>
      <c r="G15" s="303">
        <v>20</v>
      </c>
      <c r="H15" s="306" t="s">
        <v>350</v>
      </c>
      <c r="I15" s="387"/>
      <c r="J15" s="388"/>
      <c r="K15" s="384" t="s">
        <v>329</v>
      </c>
    </row>
    <row r="16" ht="17.1" customHeight="1" spans="1:11">
      <c r="A16" s="293">
        <v>10</v>
      </c>
      <c r="B16" s="303" t="s">
        <v>351</v>
      </c>
      <c r="C16" s="305">
        <v>20000</v>
      </c>
      <c r="D16" s="305">
        <v>5000</v>
      </c>
      <c r="E16" s="299" t="s">
        <v>74</v>
      </c>
      <c r="F16" s="305"/>
      <c r="G16" s="303">
        <v>4</v>
      </c>
      <c r="H16" s="306" t="s">
        <v>352</v>
      </c>
      <c r="I16" s="387"/>
      <c r="J16" s="388"/>
      <c r="K16" s="384"/>
    </row>
    <row r="17" ht="17.1" customHeight="1" spans="1:11">
      <c r="A17" s="293">
        <v>11</v>
      </c>
      <c r="B17" s="303" t="s">
        <v>353</v>
      </c>
      <c r="C17" s="305">
        <v>338457.19</v>
      </c>
      <c r="D17" s="305">
        <v>58457.19</v>
      </c>
      <c r="E17" s="299" t="s">
        <v>354</v>
      </c>
      <c r="F17" s="305"/>
      <c r="G17" s="303"/>
      <c r="H17" s="306" t="s">
        <v>355</v>
      </c>
      <c r="I17" s="387"/>
      <c r="J17" s="388"/>
      <c r="K17" s="384"/>
    </row>
    <row r="18" ht="17.1" customHeight="1" spans="1:11">
      <c r="A18" s="293">
        <v>12</v>
      </c>
      <c r="B18" s="303"/>
      <c r="C18" s="305"/>
      <c r="D18" s="305"/>
      <c r="E18" s="299"/>
      <c r="F18" s="305"/>
      <c r="G18" s="303"/>
      <c r="H18" s="306"/>
      <c r="I18" s="387"/>
      <c r="J18" s="388"/>
      <c r="K18" s="384"/>
    </row>
    <row r="19" ht="17.1" customHeight="1" spans="1:11">
      <c r="A19" s="293">
        <v>13</v>
      </c>
      <c r="B19" s="303"/>
      <c r="C19" s="305"/>
      <c r="D19" s="305"/>
      <c r="E19" s="299"/>
      <c r="F19" s="305"/>
      <c r="G19" s="303"/>
      <c r="H19" s="306"/>
      <c r="I19" s="387"/>
      <c r="J19" s="388"/>
      <c r="K19" s="384"/>
    </row>
    <row r="20" ht="17.1" customHeight="1" spans="1:11">
      <c r="A20" s="293">
        <v>14</v>
      </c>
      <c r="B20" s="303"/>
      <c r="C20" s="305"/>
      <c r="D20" s="305"/>
      <c r="E20" s="299"/>
      <c r="F20" s="305"/>
      <c r="G20" s="303"/>
      <c r="H20" s="306"/>
      <c r="I20" s="387"/>
      <c r="J20" s="388"/>
      <c r="K20" s="384"/>
    </row>
    <row r="21" ht="17.1" customHeight="1" spans="1:11">
      <c r="A21" s="293"/>
      <c r="B21" s="303"/>
      <c r="C21" s="305"/>
      <c r="D21" s="305"/>
      <c r="E21" s="299"/>
      <c r="F21" s="305"/>
      <c r="G21" s="303"/>
      <c r="H21" s="306"/>
      <c r="I21" s="387"/>
      <c r="J21" s="388"/>
      <c r="K21" s="384"/>
    </row>
    <row r="22" ht="17.1" customHeight="1" spans="1:11">
      <c r="A22" s="293"/>
      <c r="B22" s="303"/>
      <c r="C22" s="305"/>
      <c r="D22" s="305"/>
      <c r="E22" s="299"/>
      <c r="F22" s="305"/>
      <c r="G22" s="303"/>
      <c r="H22" s="306"/>
      <c r="I22" s="387"/>
      <c r="J22" s="388"/>
      <c r="K22" s="384"/>
    </row>
    <row r="23" ht="17.1" customHeight="1" spans="1:11">
      <c r="A23" s="307"/>
      <c r="B23" s="308"/>
      <c r="C23" s="309"/>
      <c r="D23" s="309"/>
      <c r="E23" s="310"/>
      <c r="F23" s="309"/>
      <c r="G23" s="308"/>
      <c r="H23" s="311"/>
      <c r="I23" s="389"/>
      <c r="J23" s="390"/>
      <c r="K23" s="391"/>
    </row>
    <row r="24" ht="17.1" customHeight="1" spans="1:11">
      <c r="A24" s="287"/>
      <c r="B24" s="312"/>
      <c r="C24" s="313"/>
      <c r="D24" s="313"/>
      <c r="E24" s="314"/>
      <c r="F24" s="315"/>
      <c r="G24" s="312"/>
      <c r="H24" s="316"/>
      <c r="I24" s="316"/>
      <c r="J24" s="316"/>
      <c r="K24" s="392"/>
    </row>
    <row r="25" ht="17.1" customHeight="1" spans="1:9">
      <c r="A25" s="287"/>
      <c r="B25" s="317" t="s">
        <v>356</v>
      </c>
      <c r="C25" s="317"/>
      <c r="D25" s="317"/>
      <c r="E25" s="317"/>
      <c r="F25" s="318"/>
      <c r="G25" s="319" t="s">
        <v>357</v>
      </c>
      <c r="H25" s="319"/>
      <c r="I25" s="319"/>
    </row>
    <row r="26" ht="17.1" customHeight="1" spans="1:10">
      <c r="A26" s="287"/>
      <c r="B26" s="320" t="s">
        <v>324</v>
      </c>
      <c r="C26" s="321" t="s">
        <v>358</v>
      </c>
      <c r="D26" s="322" t="s">
        <v>359</v>
      </c>
      <c r="E26" s="323" t="s">
        <v>360</v>
      </c>
      <c r="F26" s="324"/>
      <c r="G26" s="325" t="s">
        <v>324</v>
      </c>
      <c r="H26" s="326" t="s">
        <v>358</v>
      </c>
      <c r="I26" s="393">
        <v>80000</v>
      </c>
      <c r="J26" s="394" t="s">
        <v>360</v>
      </c>
    </row>
    <row r="27" ht="17.1" customHeight="1" spans="1:10">
      <c r="A27" s="287"/>
      <c r="B27" s="327" t="s">
        <v>361</v>
      </c>
      <c r="C27" s="328" t="s">
        <v>74</v>
      </c>
      <c r="D27" s="329">
        <v>5000</v>
      </c>
      <c r="E27" s="330">
        <v>15000</v>
      </c>
      <c r="F27" s="331"/>
      <c r="G27" s="332" t="s">
        <v>361</v>
      </c>
      <c r="H27" s="333" t="s">
        <v>362</v>
      </c>
      <c r="I27" s="395">
        <v>15000</v>
      </c>
      <c r="J27" s="396">
        <f>I26-I27</f>
        <v>65000</v>
      </c>
    </row>
    <row r="28" ht="17.1" customHeight="1" spans="1:10">
      <c r="A28" s="287"/>
      <c r="B28" s="327" t="s">
        <v>363</v>
      </c>
      <c r="C28" s="328" t="s">
        <v>235</v>
      </c>
      <c r="D28" s="329">
        <v>5000</v>
      </c>
      <c r="E28" s="330">
        <f>E27-D28</f>
        <v>10000</v>
      </c>
      <c r="F28" s="331"/>
      <c r="G28" s="332" t="s">
        <v>363</v>
      </c>
      <c r="H28" s="333" t="s">
        <v>364</v>
      </c>
      <c r="I28" s="395">
        <v>65000</v>
      </c>
      <c r="J28" s="396">
        <v>0</v>
      </c>
    </row>
    <row r="29" ht="17.1" customHeight="1" spans="1:10">
      <c r="A29" s="287"/>
      <c r="B29" s="334" t="s">
        <v>365</v>
      </c>
      <c r="C29" s="328"/>
      <c r="D29" s="329">
        <v>5000</v>
      </c>
      <c r="E29" s="330">
        <f t="shared" ref="E29:E30" si="0">E28-D29</f>
        <v>5000</v>
      </c>
      <c r="F29" s="331"/>
      <c r="G29" s="335" t="s">
        <v>366</v>
      </c>
      <c r="H29" s="333" t="s">
        <v>367</v>
      </c>
      <c r="I29" s="397"/>
      <c r="J29" s="396">
        <v>65000</v>
      </c>
    </row>
    <row r="30" ht="17.1" customHeight="1" spans="1:10">
      <c r="A30" s="287"/>
      <c r="B30" s="336" t="s">
        <v>368</v>
      </c>
      <c r="C30" s="337"/>
      <c r="D30" s="338">
        <v>5000</v>
      </c>
      <c r="E30" s="339">
        <f t="shared" si="0"/>
        <v>0</v>
      </c>
      <c r="F30" s="331"/>
      <c r="G30" s="335" t="s">
        <v>369</v>
      </c>
      <c r="H30" s="333" t="s">
        <v>370</v>
      </c>
      <c r="I30" s="395">
        <v>10000</v>
      </c>
      <c r="J30" s="396">
        <f>J29-I30</f>
        <v>55000</v>
      </c>
    </row>
    <row r="31" ht="17.1" customHeight="1" spans="1:10">
      <c r="A31" s="287"/>
      <c r="B31" s="340"/>
      <c r="C31" s="341"/>
      <c r="D31" s="341"/>
      <c r="E31" s="342"/>
      <c r="F31" s="343"/>
      <c r="G31" s="335" t="s">
        <v>369</v>
      </c>
      <c r="H31" s="333" t="s">
        <v>371</v>
      </c>
      <c r="I31" s="395">
        <v>10000</v>
      </c>
      <c r="J31" s="396">
        <f>J30-I31</f>
        <v>45000</v>
      </c>
    </row>
    <row r="32" ht="25.8" customHeight="1" spans="1:10">
      <c r="A32" s="287"/>
      <c r="B32" s="344" t="s">
        <v>372</v>
      </c>
      <c r="C32" s="344"/>
      <c r="D32" s="344"/>
      <c r="E32" s="344"/>
      <c r="F32" s="345"/>
      <c r="G32" s="335" t="s">
        <v>369</v>
      </c>
      <c r="H32" s="333" t="s">
        <v>373</v>
      </c>
      <c r="I32" s="395">
        <v>10000</v>
      </c>
      <c r="J32" s="396">
        <f>J31-I32</f>
        <v>35000</v>
      </c>
    </row>
    <row r="33" ht="17.1" customHeight="1" spans="1:10">
      <c r="A33" s="287"/>
      <c r="B33" s="346" t="s">
        <v>324</v>
      </c>
      <c r="C33" s="347" t="s">
        <v>358</v>
      </c>
      <c r="D33" s="348">
        <v>343457.19</v>
      </c>
      <c r="E33" s="349" t="s">
        <v>360</v>
      </c>
      <c r="F33" s="324"/>
      <c r="G33" s="335" t="s">
        <v>369</v>
      </c>
      <c r="H33" s="333" t="s">
        <v>374</v>
      </c>
      <c r="I33" s="395">
        <v>10000</v>
      </c>
      <c r="J33" s="396">
        <f>J32-I33</f>
        <v>25000</v>
      </c>
    </row>
    <row r="34" ht="17.1" customHeight="1" spans="1:10">
      <c r="A34" s="287"/>
      <c r="B34" s="207" t="s">
        <v>361</v>
      </c>
      <c r="C34" s="208" t="s">
        <v>354</v>
      </c>
      <c r="D34" s="299">
        <v>58457.19</v>
      </c>
      <c r="E34" s="215">
        <f>D33-D34</f>
        <v>285000</v>
      </c>
      <c r="F34" s="350"/>
      <c r="G34" s="335" t="s">
        <v>369</v>
      </c>
      <c r="H34" s="351" t="s">
        <v>375</v>
      </c>
      <c r="I34" s="395">
        <v>10000</v>
      </c>
      <c r="J34" s="396">
        <f t="shared" ref="J34:J36" si="1">J33-I34</f>
        <v>15000</v>
      </c>
    </row>
    <row r="35" ht="17.1" customHeight="1" spans="1:10">
      <c r="A35" s="287"/>
      <c r="B35" s="207" t="s">
        <v>363</v>
      </c>
      <c r="C35" s="352"/>
      <c r="D35" s="352"/>
      <c r="E35" s="215">
        <f>E34-D35</f>
        <v>285000</v>
      </c>
      <c r="F35" s="353"/>
      <c r="G35" s="354"/>
      <c r="H35" s="355"/>
      <c r="I35" s="398"/>
      <c r="J35" s="396">
        <f t="shared" si="1"/>
        <v>15000</v>
      </c>
    </row>
    <row r="36" ht="17.1" customHeight="1" spans="1:10">
      <c r="A36" s="287"/>
      <c r="B36" s="207" t="s">
        <v>365</v>
      </c>
      <c r="C36" s="356"/>
      <c r="D36" s="356"/>
      <c r="E36" s="215">
        <f t="shared" ref="E36:E41" si="2">E35-D36</f>
        <v>285000</v>
      </c>
      <c r="F36" s="357"/>
      <c r="G36" s="358"/>
      <c r="H36" s="359"/>
      <c r="I36" s="368"/>
      <c r="J36" s="399">
        <f t="shared" si="1"/>
        <v>15000</v>
      </c>
    </row>
    <row r="37" ht="17.1" customHeight="1" spans="1:10">
      <c r="A37" s="287"/>
      <c r="B37" s="207" t="s">
        <v>368</v>
      </c>
      <c r="C37" s="356"/>
      <c r="D37" s="356"/>
      <c r="E37" s="215">
        <f t="shared" si="2"/>
        <v>285000</v>
      </c>
      <c r="F37" s="360"/>
      <c r="G37" s="360"/>
      <c r="H37" s="360"/>
      <c r="I37" s="360"/>
      <c r="J37" s="400"/>
    </row>
    <row r="38" ht="18" customHeight="1" spans="2:10">
      <c r="B38" s="207" t="s">
        <v>376</v>
      </c>
      <c r="C38" s="356"/>
      <c r="D38" s="356"/>
      <c r="E38" s="215">
        <f t="shared" si="2"/>
        <v>285000</v>
      </c>
      <c r="F38" s="361"/>
      <c r="G38" s="324"/>
      <c r="H38" s="324"/>
      <c r="I38" s="324"/>
      <c r="J38" s="401"/>
    </row>
    <row r="39" ht="18" customHeight="1" spans="2:10">
      <c r="B39" s="207" t="s">
        <v>377</v>
      </c>
      <c r="C39" s="16"/>
      <c r="D39" s="16"/>
      <c r="E39" s="215">
        <f t="shared" si="2"/>
        <v>285000</v>
      </c>
      <c r="F39" s="362"/>
      <c r="G39" s="363"/>
      <c r="H39" s="324"/>
      <c r="I39" s="324"/>
      <c r="J39" s="401"/>
    </row>
    <row r="40" ht="18" customHeight="1" spans="2:10">
      <c r="B40" s="207" t="s">
        <v>378</v>
      </c>
      <c r="C40" s="16"/>
      <c r="D40" s="16"/>
      <c r="E40" s="215">
        <f t="shared" si="2"/>
        <v>285000</v>
      </c>
      <c r="F40" s="364"/>
      <c r="G40" s="365"/>
      <c r="H40" s="366"/>
      <c r="I40" s="366"/>
      <c r="J40" s="401"/>
    </row>
    <row r="41" ht="18" customHeight="1" spans="2:10">
      <c r="B41" s="367"/>
      <c r="C41" s="368"/>
      <c r="D41" s="368"/>
      <c r="E41" s="369">
        <f t="shared" si="2"/>
        <v>285000</v>
      </c>
      <c r="F41" s="370"/>
      <c r="G41" s="370"/>
      <c r="H41" s="370"/>
      <c r="I41" s="366"/>
      <c r="J41" s="401"/>
    </row>
    <row r="42" ht="18" customHeight="1" spans="6:10">
      <c r="F42" s="364"/>
      <c r="G42" s="365"/>
      <c r="H42" s="366"/>
      <c r="I42" s="366"/>
      <c r="J42" s="401"/>
    </row>
    <row r="43" ht="18" customHeight="1" spans="6:10">
      <c r="F43" s="364"/>
      <c r="G43" s="371" t="s">
        <v>379</v>
      </c>
      <c r="H43" s="372"/>
      <c r="I43" s="372"/>
      <c r="J43" s="402"/>
    </row>
    <row r="44" ht="18" customHeight="1" spans="6:10">
      <c r="F44" s="373"/>
      <c r="G44" s="374" t="s">
        <v>380</v>
      </c>
      <c r="H44" s="375"/>
      <c r="I44" s="403"/>
      <c r="J44" s="404">
        <f>J36</f>
        <v>15000</v>
      </c>
    </row>
    <row r="45" ht="18" customHeight="1" spans="7:10">
      <c r="G45" s="376" t="s">
        <v>381</v>
      </c>
      <c r="H45" s="377"/>
      <c r="I45" s="405"/>
      <c r="J45" s="406">
        <f>E41</f>
        <v>285000</v>
      </c>
    </row>
    <row r="46" ht="18" customHeight="1" spans="7:10">
      <c r="G46" s="378" t="s">
        <v>382</v>
      </c>
      <c r="H46" s="379"/>
      <c r="I46" s="379"/>
      <c r="J46" s="407">
        <f>SUM(J44:J45)</f>
        <v>300000</v>
      </c>
    </row>
    <row r="47" ht="18" customHeight="1"/>
    <row r="48" ht="18" customHeight="1" spans="6:6">
      <c r="F48" s="380"/>
    </row>
    <row r="49" ht="18" customHeight="1" spans="1:9">
      <c r="A49" s="9"/>
      <c r="F49" s="381"/>
      <c r="G49" s="382"/>
      <c r="H49" s="382"/>
      <c r="I49" s="382"/>
    </row>
    <row r="50" ht="18" customHeight="1" spans="1:9">
      <c r="A50" s="9"/>
      <c r="F50" s="381"/>
      <c r="G50" s="382"/>
      <c r="H50" s="382"/>
      <c r="I50" s="382"/>
    </row>
    <row r="51" ht="18" customHeight="1" spans="1:9">
      <c r="A51" s="9"/>
      <c r="F51" s="381"/>
      <c r="G51" s="382"/>
      <c r="H51" s="382"/>
      <c r="I51" s="382"/>
    </row>
    <row r="52" ht="18" customHeight="1" spans="1:9">
      <c r="A52" s="9"/>
      <c r="F52" s="381"/>
      <c r="G52" s="382"/>
      <c r="H52" s="382"/>
      <c r="I52" s="382"/>
    </row>
    <row r="53" ht="18" customHeight="1" spans="1:9">
      <c r="A53" s="9"/>
      <c r="F53" s="9"/>
      <c r="G53" s="9"/>
      <c r="H53" s="9"/>
      <c r="I53" s="9"/>
    </row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 spans="10:10">
      <c r="J60" s="408"/>
    </row>
    <row r="61" ht="18" customHeight="1" spans="10:10">
      <c r="J61" s="408"/>
    </row>
    <row r="62" ht="20.25" customHeight="1" spans="10:10">
      <c r="J62" s="409"/>
    </row>
    <row r="63" ht="20.25" customHeight="1" spans="10:10">
      <c r="J63" s="409"/>
    </row>
    <row r="64" ht="18" customHeight="1" spans="10:10">
      <c r="J64" s="409"/>
    </row>
    <row r="65" ht="18" customHeight="1" spans="10:10">
      <c r="J65" s="166"/>
    </row>
    <row r="66" ht="18" customHeight="1" spans="10:10">
      <c r="J66" s="410"/>
    </row>
    <row r="67" ht="18" customHeight="1" spans="10:10">
      <c r="J67" s="409"/>
    </row>
    <row r="68" ht="18" customHeight="1" spans="10:11">
      <c r="J68" s="411"/>
      <c r="K68" s="166"/>
    </row>
    <row r="69" ht="18" customHeight="1" spans="10:11">
      <c r="J69" s="412"/>
      <c r="K69" s="413"/>
    </row>
    <row r="70" ht="18" customHeight="1" spans="10:11">
      <c r="J70" s="412"/>
      <c r="K70" s="413"/>
    </row>
    <row r="71" ht="18" customHeight="1" spans="10:11">
      <c r="J71" s="412"/>
      <c r="K71" s="413"/>
    </row>
    <row r="72" ht="18" customHeight="1" spans="10:10">
      <c r="J72" s="409"/>
    </row>
    <row r="73" ht="18" customHeight="1" spans="10:10">
      <c r="J73" s="412"/>
    </row>
    <row r="74" ht="18" customHeight="1" spans="10:10">
      <c r="J74" s="409"/>
    </row>
    <row r="75" ht="18" customHeight="1" spans="10:10">
      <c r="J75" s="414"/>
    </row>
    <row r="76" ht="18" customHeight="1" spans="10:10">
      <c r="J76" s="415"/>
    </row>
    <row r="77" ht="18" customHeight="1" spans="10:10">
      <c r="J77" s="416"/>
    </row>
    <row r="78" ht="18" customHeight="1" spans="10:10">
      <c r="J78" s="417"/>
    </row>
    <row r="79" ht="18" customHeight="1" spans="10:10">
      <c r="J79" s="417"/>
    </row>
    <row r="80" ht="18" customHeight="1" spans="10:10">
      <c r="J80" s="417"/>
    </row>
    <row r="81" ht="18" customHeight="1" spans="10:10">
      <c r="J81" s="417"/>
    </row>
    <row r="82" ht="14.25" spans="10:10">
      <c r="J82" s="418"/>
    </row>
    <row r="83" ht="17.25" customHeight="1" spans="10:10">
      <c r="J83" s="415"/>
    </row>
    <row r="84" ht="18.75" customHeight="1"/>
    <row r="85" spans="12:12">
      <c r="L85" s="166"/>
    </row>
    <row r="87" customHeight="1"/>
    <row r="88" customHeight="1"/>
    <row r="89" customHeight="1"/>
    <row r="90" ht="14.25" customHeight="1"/>
  </sheetData>
  <mergeCells count="23"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22:J22"/>
    <mergeCell ref="H23:J23"/>
    <mergeCell ref="B25:E25"/>
    <mergeCell ref="B31:E31"/>
    <mergeCell ref="B32:E32"/>
    <mergeCell ref="G43:J43"/>
    <mergeCell ref="G44:I44"/>
    <mergeCell ref="G45:I45"/>
    <mergeCell ref="G46:I46"/>
    <mergeCell ref="G49:I52"/>
    <mergeCell ref="A1:J2"/>
    <mergeCell ref="B4:J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zoomScale="140" zoomScaleNormal="140" workbookViewId="0">
      <pane ySplit="4" topLeftCell="A47" activePane="bottomLeft" state="frozen"/>
      <selection/>
      <selection pane="bottomLeft" activeCell="D44" sqref="D44"/>
    </sheetView>
  </sheetViews>
  <sheetFormatPr defaultColWidth="10" defaultRowHeight="13.5" outlineLevelCol="6"/>
  <cols>
    <col min="1" max="1" width="9" style="252" customWidth="1"/>
    <col min="2" max="2" width="14.2166666666667" customWidth="1"/>
    <col min="3" max="3" width="32.8833333333333" customWidth="1"/>
    <col min="4" max="5" width="15.4416666666667" customWidth="1"/>
    <col min="6" max="6" width="24" customWidth="1"/>
  </cols>
  <sheetData>
    <row r="1" customHeight="1" spans="2:7">
      <c r="B1" s="254" t="s">
        <v>383</v>
      </c>
      <c r="C1" s="255"/>
      <c r="D1" s="255"/>
      <c r="E1" s="255"/>
      <c r="F1" s="255"/>
      <c r="G1" s="166"/>
    </row>
    <row r="2" customHeight="1" spans="2:7">
      <c r="B2" s="256"/>
      <c r="C2" s="257"/>
      <c r="D2" s="257"/>
      <c r="E2" s="257"/>
      <c r="F2" s="257"/>
      <c r="G2" s="166"/>
    </row>
    <row r="3" customHeight="1" spans="2:7">
      <c r="B3" s="256"/>
      <c r="C3" s="257"/>
      <c r="D3" s="257"/>
      <c r="E3" s="257"/>
      <c r="F3" s="257"/>
      <c r="G3" s="166"/>
    </row>
    <row r="4" ht="20.1" customHeight="1" spans="1:6">
      <c r="A4" s="258" t="s">
        <v>318</v>
      </c>
      <c r="B4" s="259" t="s">
        <v>4</v>
      </c>
      <c r="C4" s="260" t="s">
        <v>384</v>
      </c>
      <c r="D4" s="261" t="s">
        <v>385</v>
      </c>
      <c r="E4" s="262" t="s">
        <v>386</v>
      </c>
      <c r="F4" s="263" t="s">
        <v>387</v>
      </c>
    </row>
    <row r="5" ht="18" customHeight="1" spans="1:6">
      <c r="A5" s="264">
        <v>1</v>
      </c>
      <c r="B5" s="265" t="s">
        <v>388</v>
      </c>
      <c r="C5" s="266" t="s">
        <v>389</v>
      </c>
      <c r="D5" s="267"/>
      <c r="E5" s="267"/>
      <c r="F5" s="268">
        <v>35387.88</v>
      </c>
    </row>
    <row r="6" ht="18" customHeight="1" spans="1:6">
      <c r="A6" s="264">
        <v>2</v>
      </c>
      <c r="B6" s="265" t="s">
        <v>390</v>
      </c>
      <c r="C6" s="269" t="s">
        <v>391</v>
      </c>
      <c r="D6" s="267"/>
      <c r="E6" s="267">
        <v>-20</v>
      </c>
      <c r="F6" s="268">
        <f t="shared" ref="F6:F34" si="0">F5+D6+E6</f>
        <v>35367.88</v>
      </c>
    </row>
    <row r="7" ht="18" customHeight="1" spans="1:6">
      <c r="A7" s="264">
        <v>3</v>
      </c>
      <c r="B7" s="265" t="s">
        <v>392</v>
      </c>
      <c r="C7" s="269" t="s">
        <v>393</v>
      </c>
      <c r="D7" s="267"/>
      <c r="E7" s="267">
        <v>-200</v>
      </c>
      <c r="F7" s="268">
        <f t="shared" si="0"/>
        <v>35167.88</v>
      </c>
    </row>
    <row r="8" ht="18" customHeight="1" spans="1:6">
      <c r="A8" s="264">
        <v>4</v>
      </c>
      <c r="B8" s="270" t="s">
        <v>394</v>
      </c>
      <c r="C8" s="269" t="s">
        <v>391</v>
      </c>
      <c r="D8" s="267"/>
      <c r="E8" s="267">
        <v>-20</v>
      </c>
      <c r="F8" s="268">
        <f t="shared" si="0"/>
        <v>35147.88</v>
      </c>
    </row>
    <row r="9" ht="18" customHeight="1" spans="1:6">
      <c r="A9" s="264">
        <v>5</v>
      </c>
      <c r="B9" s="270" t="s">
        <v>395</v>
      </c>
      <c r="C9" s="269" t="s">
        <v>391</v>
      </c>
      <c r="D9" s="267"/>
      <c r="E9" s="267">
        <v>-20</v>
      </c>
      <c r="F9" s="268">
        <f t="shared" si="0"/>
        <v>35127.88</v>
      </c>
    </row>
    <row r="10" ht="18" customHeight="1" spans="1:6">
      <c r="A10" s="264">
        <v>6</v>
      </c>
      <c r="B10" s="270" t="s">
        <v>396</v>
      </c>
      <c r="C10" s="269" t="s">
        <v>397</v>
      </c>
      <c r="D10" s="267">
        <v>26.42</v>
      </c>
      <c r="E10" s="267"/>
      <c r="F10" s="268">
        <f t="shared" si="0"/>
        <v>35154.3</v>
      </c>
    </row>
    <row r="11" ht="18" customHeight="1" spans="1:6">
      <c r="A11" s="264">
        <v>7</v>
      </c>
      <c r="B11" s="270" t="s">
        <v>398</v>
      </c>
      <c r="C11" s="269" t="s">
        <v>391</v>
      </c>
      <c r="D11" s="267"/>
      <c r="E11" s="267">
        <v>-20</v>
      </c>
      <c r="F11" s="268">
        <f t="shared" si="0"/>
        <v>35134.3</v>
      </c>
    </row>
    <row r="12" ht="18" customHeight="1" spans="1:6">
      <c r="A12" s="264">
        <v>8</v>
      </c>
      <c r="B12" s="270" t="s">
        <v>399</v>
      </c>
      <c r="C12" s="269" t="s">
        <v>391</v>
      </c>
      <c r="D12" s="267"/>
      <c r="E12" s="267">
        <v>-20</v>
      </c>
      <c r="F12" s="268">
        <f t="shared" si="0"/>
        <v>35114.3</v>
      </c>
    </row>
    <row r="13" ht="18" customHeight="1" spans="1:6">
      <c r="A13" s="264">
        <v>9</v>
      </c>
      <c r="B13" s="270" t="s">
        <v>400</v>
      </c>
      <c r="C13" s="269" t="s">
        <v>391</v>
      </c>
      <c r="D13" s="267"/>
      <c r="E13" s="267">
        <v>-20</v>
      </c>
      <c r="F13" s="268">
        <f t="shared" si="0"/>
        <v>35094.3</v>
      </c>
    </row>
    <row r="14" ht="18" customHeight="1" spans="1:6">
      <c r="A14" s="264">
        <v>10</v>
      </c>
      <c r="B14" s="265" t="s">
        <v>401</v>
      </c>
      <c r="C14" s="269" t="s">
        <v>397</v>
      </c>
      <c r="D14" s="267">
        <v>26.93</v>
      </c>
      <c r="E14" s="267"/>
      <c r="F14" s="268">
        <f t="shared" si="0"/>
        <v>35121.23</v>
      </c>
    </row>
    <row r="15" ht="18" customHeight="1" spans="1:6">
      <c r="A15" s="264">
        <v>11</v>
      </c>
      <c r="B15" s="265" t="s">
        <v>402</v>
      </c>
      <c r="C15" s="269" t="s">
        <v>391</v>
      </c>
      <c r="D15" s="271"/>
      <c r="E15" s="271">
        <v>-20</v>
      </c>
      <c r="F15" s="268">
        <f t="shared" si="0"/>
        <v>35101.23</v>
      </c>
    </row>
    <row r="16" ht="18" customHeight="1" spans="1:6">
      <c r="A16" s="264">
        <v>12</v>
      </c>
      <c r="B16" s="272" t="s">
        <v>403</v>
      </c>
      <c r="C16" s="269" t="s">
        <v>391</v>
      </c>
      <c r="D16" s="273"/>
      <c r="E16" s="273"/>
      <c r="F16" s="268">
        <f t="shared" si="0"/>
        <v>35101.23</v>
      </c>
    </row>
    <row r="17" ht="18" customHeight="1" spans="1:6">
      <c r="A17" s="264">
        <v>13</v>
      </c>
      <c r="B17" s="272" t="s">
        <v>404</v>
      </c>
      <c r="C17" s="269" t="s">
        <v>391</v>
      </c>
      <c r="D17" s="273"/>
      <c r="E17" s="273"/>
      <c r="F17" s="268">
        <f t="shared" si="0"/>
        <v>35101.23</v>
      </c>
    </row>
    <row r="18" ht="18" customHeight="1" spans="1:6">
      <c r="A18" s="264">
        <v>14</v>
      </c>
      <c r="B18" s="272" t="s">
        <v>405</v>
      </c>
      <c r="C18" s="269" t="s">
        <v>397</v>
      </c>
      <c r="D18" s="273">
        <v>26.91</v>
      </c>
      <c r="E18" s="273"/>
      <c r="F18" s="268">
        <f t="shared" si="0"/>
        <v>35128.14</v>
      </c>
    </row>
    <row r="19" ht="18" customHeight="1" spans="1:6">
      <c r="A19" s="264">
        <v>15</v>
      </c>
      <c r="B19" s="274" t="s">
        <v>406</v>
      </c>
      <c r="C19" s="269" t="s">
        <v>391</v>
      </c>
      <c r="D19" s="273"/>
      <c r="E19" s="211"/>
      <c r="F19" s="268">
        <f t="shared" si="0"/>
        <v>35128.14</v>
      </c>
    </row>
    <row r="20" ht="18" customHeight="1" spans="1:6">
      <c r="A20" s="264">
        <v>16</v>
      </c>
      <c r="B20" s="274" t="s">
        <v>407</v>
      </c>
      <c r="C20" s="269" t="s">
        <v>391</v>
      </c>
      <c r="D20" s="273"/>
      <c r="E20" s="211"/>
      <c r="F20" s="268">
        <f t="shared" si="0"/>
        <v>35128.14</v>
      </c>
    </row>
    <row r="21" ht="18" customHeight="1" spans="1:6">
      <c r="A21" s="264">
        <v>17</v>
      </c>
      <c r="B21" s="274" t="s">
        <v>408</v>
      </c>
      <c r="C21" s="269" t="s">
        <v>391</v>
      </c>
      <c r="D21" s="273"/>
      <c r="E21" s="211"/>
      <c r="F21" s="268">
        <f t="shared" si="0"/>
        <v>35128.14</v>
      </c>
    </row>
    <row r="22" ht="18" customHeight="1" spans="1:6">
      <c r="A22" s="264">
        <v>18</v>
      </c>
      <c r="B22" s="274" t="s">
        <v>409</v>
      </c>
      <c r="C22" s="269" t="s">
        <v>397</v>
      </c>
      <c r="D22" s="273">
        <v>26.64</v>
      </c>
      <c r="E22" s="211"/>
      <c r="F22" s="268">
        <f t="shared" si="0"/>
        <v>35154.78</v>
      </c>
    </row>
    <row r="23" ht="18" customHeight="1" spans="1:6">
      <c r="A23" s="264">
        <v>19</v>
      </c>
      <c r="B23" s="274" t="s">
        <v>410</v>
      </c>
      <c r="C23" s="269" t="s">
        <v>393</v>
      </c>
      <c r="D23" s="273"/>
      <c r="E23" s="211">
        <v>-200</v>
      </c>
      <c r="F23" s="268">
        <f t="shared" si="0"/>
        <v>34954.78</v>
      </c>
    </row>
    <row r="24" ht="18" customHeight="1" spans="1:6">
      <c r="A24" s="264">
        <v>20</v>
      </c>
      <c r="B24" s="274" t="s">
        <v>411</v>
      </c>
      <c r="C24" s="269" t="s">
        <v>397</v>
      </c>
      <c r="D24" s="273">
        <v>26.24</v>
      </c>
      <c r="E24" s="211"/>
      <c r="F24" s="268">
        <f t="shared" si="0"/>
        <v>34981.02</v>
      </c>
    </row>
    <row r="25" ht="18" customHeight="1" spans="1:6">
      <c r="A25" s="264">
        <v>21</v>
      </c>
      <c r="B25" s="274" t="s">
        <v>412</v>
      </c>
      <c r="C25" s="269" t="s">
        <v>397</v>
      </c>
      <c r="D25" s="273">
        <v>26.82</v>
      </c>
      <c r="E25" s="211"/>
      <c r="F25" s="268">
        <f t="shared" si="0"/>
        <v>35007.84</v>
      </c>
    </row>
    <row r="26" ht="18" customHeight="1" spans="1:6">
      <c r="A26" s="264">
        <v>22</v>
      </c>
      <c r="B26" s="274" t="s">
        <v>413</v>
      </c>
      <c r="C26" s="208" t="s">
        <v>414</v>
      </c>
      <c r="D26" s="273">
        <v>10000</v>
      </c>
      <c r="E26" s="211"/>
      <c r="F26" s="268">
        <f t="shared" si="0"/>
        <v>45007.84</v>
      </c>
    </row>
    <row r="27" ht="18" customHeight="1" spans="1:6">
      <c r="A27" s="264">
        <v>23</v>
      </c>
      <c r="B27" s="274" t="s">
        <v>415</v>
      </c>
      <c r="C27" s="269" t="s">
        <v>397</v>
      </c>
      <c r="D27" s="273">
        <v>31.67</v>
      </c>
      <c r="E27" s="211"/>
      <c r="F27" s="268">
        <f t="shared" si="0"/>
        <v>45039.51</v>
      </c>
    </row>
    <row r="28" ht="18" customHeight="1" spans="1:6">
      <c r="A28" s="264">
        <v>24</v>
      </c>
      <c r="B28" s="274" t="s">
        <v>416</v>
      </c>
      <c r="C28" s="269" t="s">
        <v>397</v>
      </c>
      <c r="D28" s="273">
        <v>34.15</v>
      </c>
      <c r="E28" s="211"/>
      <c r="F28" s="268">
        <f t="shared" si="0"/>
        <v>45073.66</v>
      </c>
    </row>
    <row r="29" ht="18" customHeight="1" spans="1:6">
      <c r="A29" s="264">
        <v>25</v>
      </c>
      <c r="B29" s="274" t="s">
        <v>417</v>
      </c>
      <c r="C29" s="269" t="s">
        <v>418</v>
      </c>
      <c r="D29" s="273">
        <v>5000</v>
      </c>
      <c r="E29" s="211"/>
      <c r="F29" s="268">
        <f t="shared" si="0"/>
        <v>50073.66</v>
      </c>
    </row>
    <row r="30" ht="18" customHeight="1" spans="1:6">
      <c r="A30" s="264">
        <v>26</v>
      </c>
      <c r="B30" s="208" t="s">
        <v>419</v>
      </c>
      <c r="C30" s="269" t="s">
        <v>397</v>
      </c>
      <c r="D30" s="273">
        <v>36.81</v>
      </c>
      <c r="E30" s="211"/>
      <c r="F30" s="268">
        <f t="shared" si="0"/>
        <v>50110.47</v>
      </c>
    </row>
    <row r="31" ht="18" customHeight="1" spans="1:6">
      <c r="A31" s="264">
        <v>27</v>
      </c>
      <c r="B31" s="208" t="s">
        <v>420</v>
      </c>
      <c r="C31" s="269" t="s">
        <v>397</v>
      </c>
      <c r="D31" s="273">
        <v>38.42</v>
      </c>
      <c r="E31" s="211"/>
      <c r="F31" s="268">
        <f t="shared" si="0"/>
        <v>50148.89</v>
      </c>
    </row>
    <row r="32" ht="18" customHeight="1" spans="1:6">
      <c r="A32" s="264">
        <v>28</v>
      </c>
      <c r="B32" s="208" t="s">
        <v>421</v>
      </c>
      <c r="C32" s="275" t="s">
        <v>422</v>
      </c>
      <c r="D32" s="276"/>
      <c r="E32" s="211">
        <v>-200</v>
      </c>
      <c r="F32" s="268">
        <f t="shared" si="0"/>
        <v>49948.89</v>
      </c>
    </row>
    <row r="33" ht="20.1" customHeight="1" spans="1:6">
      <c r="A33" s="264">
        <v>29</v>
      </c>
      <c r="B33" s="275" t="s">
        <v>423</v>
      </c>
      <c r="C33" s="269" t="s">
        <v>397</v>
      </c>
      <c r="D33" s="276">
        <v>38.31</v>
      </c>
      <c r="E33" s="276"/>
      <c r="F33" s="268">
        <f t="shared" si="0"/>
        <v>49987.2</v>
      </c>
    </row>
    <row r="34" ht="20.1" customHeight="1" spans="1:6">
      <c r="A34" s="264">
        <v>30</v>
      </c>
      <c r="B34" s="275" t="s">
        <v>424</v>
      </c>
      <c r="C34" s="269" t="s">
        <v>397</v>
      </c>
      <c r="D34" s="276">
        <v>37.91</v>
      </c>
      <c r="E34" s="276"/>
      <c r="F34" s="268">
        <f t="shared" si="0"/>
        <v>50025.11</v>
      </c>
    </row>
    <row r="35" ht="20.1" customHeight="1" spans="1:6">
      <c r="A35" s="264">
        <v>31</v>
      </c>
      <c r="B35" s="275" t="s">
        <v>425</v>
      </c>
      <c r="C35" s="269" t="s">
        <v>397</v>
      </c>
      <c r="D35" s="276">
        <v>37.94</v>
      </c>
      <c r="E35" s="276"/>
      <c r="F35" s="268">
        <f t="shared" ref="F35:F48" si="1">F34+D35+E35</f>
        <v>50063.05</v>
      </c>
    </row>
    <row r="36" ht="20.1" customHeight="1" spans="1:6">
      <c r="A36" s="264">
        <v>32</v>
      </c>
      <c r="B36" s="275" t="s">
        <v>426</v>
      </c>
      <c r="C36" s="269" t="s">
        <v>397</v>
      </c>
      <c r="D36" s="276">
        <v>38.38</v>
      </c>
      <c r="E36" s="276"/>
      <c r="F36" s="268">
        <f t="shared" si="1"/>
        <v>50101.43</v>
      </c>
    </row>
    <row r="37" ht="20.1" customHeight="1" spans="1:6">
      <c r="A37" s="264">
        <v>33</v>
      </c>
      <c r="B37" s="275" t="s">
        <v>427</v>
      </c>
      <c r="C37" s="269" t="s">
        <v>397</v>
      </c>
      <c r="D37" s="276">
        <v>38.41</v>
      </c>
      <c r="E37" s="276"/>
      <c r="F37" s="268">
        <f t="shared" si="1"/>
        <v>50139.84</v>
      </c>
    </row>
    <row r="38" ht="20.1" customHeight="1" spans="1:6">
      <c r="A38" s="264">
        <v>34</v>
      </c>
      <c r="B38" s="275" t="s">
        <v>428</v>
      </c>
      <c r="C38" s="269" t="s">
        <v>397</v>
      </c>
      <c r="D38" s="276">
        <v>38.02</v>
      </c>
      <c r="E38" s="276"/>
      <c r="F38" s="268">
        <f t="shared" si="1"/>
        <v>50177.86</v>
      </c>
    </row>
    <row r="39" ht="20.1" customHeight="1" spans="1:6">
      <c r="A39" s="264">
        <v>35</v>
      </c>
      <c r="B39" s="275" t="s">
        <v>61</v>
      </c>
      <c r="C39" s="275" t="s">
        <v>429</v>
      </c>
      <c r="D39" s="276"/>
      <c r="E39" s="276">
        <v>-40000</v>
      </c>
      <c r="F39" s="268">
        <f t="shared" si="1"/>
        <v>10177.86</v>
      </c>
    </row>
    <row r="40" ht="20.1" customHeight="1" spans="1:6">
      <c r="A40" s="264">
        <v>36</v>
      </c>
      <c r="B40" s="275" t="s">
        <v>63</v>
      </c>
      <c r="C40" s="277" t="s">
        <v>430</v>
      </c>
      <c r="D40" s="276"/>
      <c r="E40" s="276">
        <v>-10</v>
      </c>
      <c r="F40" s="268">
        <f t="shared" si="1"/>
        <v>10167.86</v>
      </c>
    </row>
    <row r="41" ht="20.1" customHeight="1" spans="1:6">
      <c r="A41" s="264">
        <v>37</v>
      </c>
      <c r="B41" s="275" t="s">
        <v>286</v>
      </c>
      <c r="C41" s="269" t="s">
        <v>397</v>
      </c>
      <c r="D41" s="276">
        <v>19.96</v>
      </c>
      <c r="E41" s="276"/>
      <c r="F41" s="268">
        <f t="shared" si="1"/>
        <v>10187.82</v>
      </c>
    </row>
    <row r="42" ht="20.1" customHeight="1" spans="1:6">
      <c r="A42" s="264">
        <v>38</v>
      </c>
      <c r="B42" s="275" t="s">
        <v>293</v>
      </c>
      <c r="C42" s="269" t="s">
        <v>397</v>
      </c>
      <c r="D42" s="276">
        <v>7.81</v>
      </c>
      <c r="E42" s="276"/>
      <c r="F42" s="268">
        <f t="shared" si="1"/>
        <v>10195.63</v>
      </c>
    </row>
    <row r="43" ht="20.1" customHeight="1" spans="1:6">
      <c r="A43" s="264"/>
      <c r="B43" s="275"/>
      <c r="C43" s="276"/>
      <c r="D43" s="276"/>
      <c r="E43" s="276"/>
      <c r="F43" s="268">
        <f t="shared" si="1"/>
        <v>10195.63</v>
      </c>
    </row>
    <row r="44" ht="20.1" customHeight="1" spans="1:6">
      <c r="A44" s="264"/>
      <c r="B44" s="275"/>
      <c r="C44" s="276"/>
      <c r="D44" s="276"/>
      <c r="E44" s="276"/>
      <c r="F44" s="268">
        <f t="shared" si="1"/>
        <v>10195.63</v>
      </c>
    </row>
    <row r="45" ht="20.1" customHeight="1" spans="1:6">
      <c r="A45" s="264"/>
      <c r="B45" s="275"/>
      <c r="C45" s="276"/>
      <c r="D45" s="276"/>
      <c r="E45" s="276"/>
      <c r="F45" s="268">
        <f t="shared" si="1"/>
        <v>10195.63</v>
      </c>
    </row>
    <row r="46" ht="20.1" customHeight="1" spans="1:6">
      <c r="A46" s="264"/>
      <c r="B46" s="275"/>
      <c r="C46" s="276"/>
      <c r="D46" s="276"/>
      <c r="E46" s="276"/>
      <c r="F46" s="268">
        <f t="shared" si="1"/>
        <v>10195.63</v>
      </c>
    </row>
    <row r="47" ht="20.1" customHeight="1" spans="1:6">
      <c r="A47" s="264"/>
      <c r="B47" s="275"/>
      <c r="C47" s="276"/>
      <c r="D47" s="276"/>
      <c r="E47" s="276"/>
      <c r="F47" s="268">
        <f t="shared" si="1"/>
        <v>10195.63</v>
      </c>
    </row>
    <row r="48" ht="20.1" customHeight="1" spans="1:6">
      <c r="A48" s="278"/>
      <c r="B48" s="279"/>
      <c r="C48" s="279"/>
      <c r="D48" s="279"/>
      <c r="E48" s="279"/>
      <c r="F48" s="268">
        <f t="shared" si="1"/>
        <v>10195.63</v>
      </c>
    </row>
  </sheetData>
  <mergeCells count="1">
    <mergeCell ref="B1:F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zoomScale="110" zoomScaleNormal="110" topLeftCell="A10" workbookViewId="0">
      <selection activeCell="L22" sqref="L22"/>
    </sheetView>
  </sheetViews>
  <sheetFormatPr defaultColWidth="10" defaultRowHeight="13.5"/>
  <cols>
    <col min="1" max="1" width="6.66666666666667" customWidth="1"/>
    <col min="2" max="2" width="13.1083333333333" customWidth="1"/>
    <col min="3" max="3" width="16.2166666666667" customWidth="1"/>
    <col min="4" max="4" width="18.4416666666667" customWidth="1"/>
    <col min="5" max="5" width="6.88333333333333" customWidth="1"/>
    <col min="6" max="6" width="12.8833333333333" style="21" customWidth="1"/>
    <col min="7" max="7" width="49.1083333333333" style="21" customWidth="1"/>
    <col min="8" max="8" width="15.4416666666667" customWidth="1"/>
    <col min="9" max="9" width="10.4416666666667" customWidth="1"/>
    <col min="10" max="10" width="4.88333333333333" customWidth="1"/>
  </cols>
  <sheetData>
    <row r="1" spans="1:9">
      <c r="A1" s="191" t="s">
        <v>431</v>
      </c>
      <c r="B1" s="191"/>
      <c r="C1" s="191"/>
      <c r="D1" s="191"/>
      <c r="E1" s="191"/>
      <c r="F1" s="191"/>
      <c r="G1" s="191"/>
      <c r="H1" s="191"/>
      <c r="I1" s="191"/>
    </row>
    <row r="2" spans="1:9">
      <c r="A2" s="192"/>
      <c r="B2" s="192"/>
      <c r="C2" s="192"/>
      <c r="D2" s="192"/>
      <c r="E2" s="192"/>
      <c r="F2" s="192"/>
      <c r="G2" s="192"/>
      <c r="H2" s="192"/>
      <c r="I2" s="192"/>
    </row>
    <row r="3" ht="36" customHeight="1" spans="1:9">
      <c r="A3" s="193" t="s">
        <v>1</v>
      </c>
      <c r="B3" s="193"/>
      <c r="C3" s="194" t="s">
        <v>432</v>
      </c>
      <c r="D3" s="194"/>
      <c r="E3" s="194"/>
      <c r="F3" s="194"/>
      <c r="G3" s="194"/>
      <c r="H3" s="195"/>
      <c r="I3" s="195"/>
    </row>
    <row r="4" ht="20.25" spans="1:9">
      <c r="A4" s="196" t="s">
        <v>433</v>
      </c>
      <c r="B4" s="197"/>
      <c r="C4" s="197"/>
      <c r="D4" s="198"/>
      <c r="E4" s="196" t="s">
        <v>434</v>
      </c>
      <c r="F4" s="197"/>
      <c r="G4" s="197"/>
      <c r="H4" s="197"/>
      <c r="I4" s="198"/>
    </row>
    <row r="5" s="190" customFormat="1" ht="20.1" customHeight="1" spans="1:9">
      <c r="A5" s="199" t="s">
        <v>3</v>
      </c>
      <c r="B5" s="200" t="s">
        <v>435</v>
      </c>
      <c r="C5" s="201" t="s">
        <v>436</v>
      </c>
      <c r="D5" s="202" t="s">
        <v>437</v>
      </c>
      <c r="E5" s="203" t="s">
        <v>3</v>
      </c>
      <c r="F5" s="204" t="s">
        <v>435</v>
      </c>
      <c r="G5" s="205" t="s">
        <v>438</v>
      </c>
      <c r="H5" s="206" t="s">
        <v>437</v>
      </c>
      <c r="I5" s="244" t="s">
        <v>439</v>
      </c>
    </row>
    <row r="6" ht="20.1" customHeight="1" spans="1:9">
      <c r="A6" s="207">
        <v>1</v>
      </c>
      <c r="B6" s="208" t="s">
        <v>440</v>
      </c>
      <c r="C6" s="208" t="s">
        <v>220</v>
      </c>
      <c r="D6" s="209">
        <v>100</v>
      </c>
      <c r="E6" s="210">
        <v>1</v>
      </c>
      <c r="F6" s="208" t="s">
        <v>441</v>
      </c>
      <c r="G6" s="208" t="s">
        <v>442</v>
      </c>
      <c r="H6" s="211">
        <v>-200</v>
      </c>
      <c r="I6" s="245" t="s">
        <v>156</v>
      </c>
    </row>
    <row r="7" ht="20.1" customHeight="1" spans="1:9">
      <c r="A7" s="207">
        <v>2</v>
      </c>
      <c r="B7" s="208" t="s">
        <v>440</v>
      </c>
      <c r="C7" s="208" t="s">
        <v>443</v>
      </c>
      <c r="D7" s="209">
        <v>100</v>
      </c>
      <c r="E7" s="210">
        <v>2</v>
      </c>
      <c r="F7" s="208" t="s">
        <v>444</v>
      </c>
      <c r="G7" s="208" t="s">
        <v>445</v>
      </c>
      <c r="H7" s="211">
        <v>-350</v>
      </c>
      <c r="I7" s="245" t="s">
        <v>446</v>
      </c>
    </row>
    <row r="8" ht="20.1" customHeight="1" spans="1:9">
      <c r="A8" s="207">
        <v>3</v>
      </c>
      <c r="B8" s="208" t="s">
        <v>440</v>
      </c>
      <c r="C8" s="208" t="s">
        <v>77</v>
      </c>
      <c r="D8" s="209">
        <v>100</v>
      </c>
      <c r="E8" s="210">
        <v>3</v>
      </c>
      <c r="F8" s="208" t="s">
        <v>447</v>
      </c>
      <c r="G8" s="208" t="s">
        <v>448</v>
      </c>
      <c r="H8" s="211">
        <v>-350</v>
      </c>
      <c r="I8" s="245" t="s">
        <v>449</v>
      </c>
    </row>
    <row r="9" ht="20.1" customHeight="1" spans="1:9">
      <c r="A9" s="207">
        <v>4</v>
      </c>
      <c r="B9" s="208" t="s">
        <v>440</v>
      </c>
      <c r="C9" s="208" t="s">
        <v>450</v>
      </c>
      <c r="D9" s="209">
        <v>100</v>
      </c>
      <c r="E9" s="210">
        <v>4</v>
      </c>
      <c r="F9" s="208" t="s">
        <v>411</v>
      </c>
      <c r="G9" s="208" t="s">
        <v>451</v>
      </c>
      <c r="H9" s="211">
        <v>-350</v>
      </c>
      <c r="I9" s="245" t="s">
        <v>452</v>
      </c>
    </row>
    <row r="10" ht="20.1" customHeight="1" spans="1:9">
      <c r="A10" s="207">
        <v>5</v>
      </c>
      <c r="B10" s="208" t="s">
        <v>440</v>
      </c>
      <c r="C10" s="208" t="s">
        <v>453</v>
      </c>
      <c r="D10" s="209">
        <v>100</v>
      </c>
      <c r="E10" s="210">
        <v>5</v>
      </c>
      <c r="F10" s="208" t="s">
        <v>454</v>
      </c>
      <c r="G10" s="208" t="s">
        <v>455</v>
      </c>
      <c r="H10" s="211">
        <v>-200</v>
      </c>
      <c r="I10" s="245" t="s">
        <v>120</v>
      </c>
    </row>
    <row r="11" ht="20.1" customHeight="1" spans="1:9">
      <c r="A11" s="207">
        <v>6</v>
      </c>
      <c r="B11" s="208" t="s">
        <v>440</v>
      </c>
      <c r="C11" s="208" t="s">
        <v>30</v>
      </c>
      <c r="D11" s="209">
        <v>100</v>
      </c>
      <c r="E11" s="210">
        <v>6</v>
      </c>
      <c r="F11" s="208" t="s">
        <v>456</v>
      </c>
      <c r="G11" s="208" t="s">
        <v>457</v>
      </c>
      <c r="H11" s="211">
        <v>-350</v>
      </c>
      <c r="I11" s="245" t="s">
        <v>44</v>
      </c>
    </row>
    <row r="12" ht="20.1" customHeight="1" spans="1:9">
      <c r="A12" s="207">
        <v>7</v>
      </c>
      <c r="B12" s="208" t="s">
        <v>440</v>
      </c>
      <c r="C12" s="208" t="s">
        <v>458</v>
      </c>
      <c r="D12" s="209">
        <v>100</v>
      </c>
      <c r="E12" s="210">
        <v>7</v>
      </c>
      <c r="F12" s="208" t="s">
        <v>459</v>
      </c>
      <c r="G12" s="208" t="s">
        <v>460</v>
      </c>
      <c r="H12" s="211">
        <v>-350</v>
      </c>
      <c r="I12" s="245" t="s">
        <v>461</v>
      </c>
    </row>
    <row r="13" ht="20.1" customHeight="1" spans="1:9">
      <c r="A13" s="207">
        <v>8</v>
      </c>
      <c r="B13" s="208" t="s">
        <v>440</v>
      </c>
      <c r="C13" s="208" t="s">
        <v>26</v>
      </c>
      <c r="D13" s="209">
        <v>100</v>
      </c>
      <c r="E13" s="210">
        <v>8</v>
      </c>
      <c r="F13" s="212" t="s">
        <v>462</v>
      </c>
      <c r="G13" s="213" t="s">
        <v>463</v>
      </c>
      <c r="H13" s="214">
        <v>-276</v>
      </c>
      <c r="I13" s="246" t="s">
        <v>464</v>
      </c>
    </row>
    <row r="14" ht="20.1" customHeight="1" spans="1:9">
      <c r="A14" s="207">
        <v>9</v>
      </c>
      <c r="B14" s="208" t="s">
        <v>440</v>
      </c>
      <c r="C14" s="208" t="s">
        <v>120</v>
      </c>
      <c r="D14" s="209">
        <v>100</v>
      </c>
      <c r="E14" s="210">
        <v>9</v>
      </c>
      <c r="F14" s="208" t="s">
        <v>465</v>
      </c>
      <c r="G14" s="208" t="s">
        <v>466</v>
      </c>
      <c r="H14" s="211">
        <v>-350</v>
      </c>
      <c r="I14" s="245" t="s">
        <v>467</v>
      </c>
    </row>
    <row r="15" ht="20.1" customHeight="1" spans="1:9">
      <c r="A15" s="207">
        <v>10</v>
      </c>
      <c r="B15" s="208" t="s">
        <v>440</v>
      </c>
      <c r="C15" s="208" t="s">
        <v>468</v>
      </c>
      <c r="D15" s="209">
        <v>100</v>
      </c>
      <c r="E15" s="210">
        <v>10</v>
      </c>
      <c r="F15" s="208" t="s">
        <v>469</v>
      </c>
      <c r="G15" s="208" t="s">
        <v>470</v>
      </c>
      <c r="H15" s="211">
        <v>-350</v>
      </c>
      <c r="I15" s="245" t="s">
        <v>22</v>
      </c>
    </row>
    <row r="16" ht="20.1" customHeight="1" spans="1:9">
      <c r="A16" s="207">
        <v>11</v>
      </c>
      <c r="B16" s="208" t="s">
        <v>440</v>
      </c>
      <c r="C16" s="208" t="s">
        <v>471</v>
      </c>
      <c r="D16" s="209">
        <v>100</v>
      </c>
      <c r="E16" s="210">
        <v>11</v>
      </c>
      <c r="F16" s="208" t="s">
        <v>472</v>
      </c>
      <c r="G16" s="208" t="s">
        <v>473</v>
      </c>
      <c r="H16" s="211">
        <v>-350</v>
      </c>
      <c r="I16" s="245" t="s">
        <v>474</v>
      </c>
    </row>
    <row r="17" ht="20.1" customHeight="1" spans="1:9">
      <c r="A17" s="207">
        <v>12</v>
      </c>
      <c r="B17" s="208" t="s">
        <v>440</v>
      </c>
      <c r="C17" s="208" t="s">
        <v>475</v>
      </c>
      <c r="D17" s="209">
        <v>100</v>
      </c>
      <c r="E17" s="210">
        <v>12</v>
      </c>
      <c r="F17" s="208" t="s">
        <v>476</v>
      </c>
      <c r="G17" s="208" t="s">
        <v>477</v>
      </c>
      <c r="H17" s="211">
        <v>-300</v>
      </c>
      <c r="I17" s="245" t="s">
        <v>478</v>
      </c>
    </row>
    <row r="18" ht="20.1" customHeight="1" spans="1:9">
      <c r="A18" s="207">
        <v>13</v>
      </c>
      <c r="B18" s="208" t="s">
        <v>440</v>
      </c>
      <c r="C18" s="208" t="s">
        <v>467</v>
      </c>
      <c r="D18" s="209">
        <v>100</v>
      </c>
      <c r="E18" s="210">
        <v>13</v>
      </c>
      <c r="F18" s="208" t="s">
        <v>479</v>
      </c>
      <c r="G18" s="208" t="s">
        <v>480</v>
      </c>
      <c r="H18" s="211">
        <v>-350</v>
      </c>
      <c r="I18" s="245" t="s">
        <v>255</v>
      </c>
    </row>
    <row r="19" ht="20.1" customHeight="1" spans="1:9">
      <c r="A19" s="207">
        <v>14</v>
      </c>
      <c r="B19" s="208" t="s">
        <v>440</v>
      </c>
      <c r="C19" s="208" t="s">
        <v>481</v>
      </c>
      <c r="D19" s="209">
        <v>100</v>
      </c>
      <c r="E19" s="210">
        <v>14</v>
      </c>
      <c r="F19" s="208" t="s">
        <v>482</v>
      </c>
      <c r="G19" s="208" t="s">
        <v>483</v>
      </c>
      <c r="H19" s="211">
        <v>-350</v>
      </c>
      <c r="I19" s="245" t="s">
        <v>77</v>
      </c>
    </row>
    <row r="20" ht="20.1" customHeight="1" spans="1:9">
      <c r="A20" s="207">
        <v>15</v>
      </c>
      <c r="B20" s="208" t="s">
        <v>440</v>
      </c>
      <c r="C20" s="208" t="s">
        <v>484</v>
      </c>
      <c r="D20" s="209">
        <v>100</v>
      </c>
      <c r="E20" s="210">
        <v>15</v>
      </c>
      <c r="F20" s="208" t="s">
        <v>485</v>
      </c>
      <c r="G20" s="208" t="s">
        <v>486</v>
      </c>
      <c r="H20" s="211">
        <v>-350</v>
      </c>
      <c r="I20" s="245" t="s">
        <v>487</v>
      </c>
    </row>
    <row r="21" ht="20.1" customHeight="1" spans="1:9">
      <c r="A21" s="207">
        <v>16</v>
      </c>
      <c r="B21" s="208" t="s">
        <v>440</v>
      </c>
      <c r="C21" s="208" t="s">
        <v>255</v>
      </c>
      <c r="D21" s="209">
        <v>100</v>
      </c>
      <c r="E21" s="210">
        <v>16</v>
      </c>
      <c r="F21" s="208" t="s">
        <v>488</v>
      </c>
      <c r="G21" s="208" t="s">
        <v>489</v>
      </c>
      <c r="H21" s="211">
        <v>-350</v>
      </c>
      <c r="I21" s="245" t="s">
        <v>112</v>
      </c>
    </row>
    <row r="22" ht="20.1" customHeight="1" spans="1:9">
      <c r="A22" s="207">
        <v>17</v>
      </c>
      <c r="B22" s="208" t="s">
        <v>440</v>
      </c>
      <c r="C22" s="208" t="s">
        <v>490</v>
      </c>
      <c r="D22" s="209">
        <v>100</v>
      </c>
      <c r="E22" s="210">
        <v>17</v>
      </c>
      <c r="F22" s="208" t="s">
        <v>491</v>
      </c>
      <c r="G22" s="208" t="s">
        <v>492</v>
      </c>
      <c r="H22" s="211">
        <v>-350</v>
      </c>
      <c r="I22" s="245" t="s">
        <v>26</v>
      </c>
    </row>
    <row r="23" ht="20.1" customHeight="1" spans="1:9">
      <c r="A23" s="207">
        <v>18</v>
      </c>
      <c r="B23" s="208" t="s">
        <v>440</v>
      </c>
      <c r="C23" s="208" t="s">
        <v>493</v>
      </c>
      <c r="D23" s="209">
        <v>100</v>
      </c>
      <c r="E23" s="210">
        <v>18</v>
      </c>
      <c r="F23" s="208" t="s">
        <v>65</v>
      </c>
      <c r="G23" s="208" t="s">
        <v>494</v>
      </c>
      <c r="H23" s="211">
        <v>-350</v>
      </c>
      <c r="I23" s="245" t="s">
        <v>490</v>
      </c>
    </row>
    <row r="24" ht="20.1" customHeight="1" spans="1:9">
      <c r="A24" s="207">
        <v>19</v>
      </c>
      <c r="B24" s="208" t="s">
        <v>440</v>
      </c>
      <c r="C24" s="208" t="s">
        <v>495</v>
      </c>
      <c r="D24" s="209">
        <v>100</v>
      </c>
      <c r="E24" s="210">
        <v>19</v>
      </c>
      <c r="F24" s="208" t="s">
        <v>496</v>
      </c>
      <c r="G24" s="208" t="s">
        <v>497</v>
      </c>
      <c r="H24" s="211">
        <v>-350</v>
      </c>
      <c r="I24" s="245" t="s">
        <v>498</v>
      </c>
    </row>
    <row r="25" ht="20.1" customHeight="1" spans="1:9">
      <c r="A25" s="207">
        <v>20</v>
      </c>
      <c r="B25" s="208" t="s">
        <v>440</v>
      </c>
      <c r="C25" s="208" t="s">
        <v>499</v>
      </c>
      <c r="D25" s="209">
        <v>100</v>
      </c>
      <c r="E25" s="210">
        <v>20</v>
      </c>
      <c r="F25" s="208" t="s">
        <v>500</v>
      </c>
      <c r="G25" s="208" t="s">
        <v>501</v>
      </c>
      <c r="H25" s="211">
        <v>-350</v>
      </c>
      <c r="I25" s="245" t="s">
        <v>502</v>
      </c>
    </row>
    <row r="26" ht="20.1" customHeight="1" spans="1:9">
      <c r="A26" s="207">
        <v>21</v>
      </c>
      <c r="B26" s="208" t="s">
        <v>440</v>
      </c>
      <c r="C26" s="208" t="s">
        <v>502</v>
      </c>
      <c r="D26" s="209">
        <v>100</v>
      </c>
      <c r="E26" s="210">
        <v>21</v>
      </c>
      <c r="F26" s="208" t="s">
        <v>503</v>
      </c>
      <c r="G26" s="208" t="s">
        <v>504</v>
      </c>
      <c r="H26" s="211">
        <v>-350</v>
      </c>
      <c r="I26" s="245" t="s">
        <v>467</v>
      </c>
    </row>
    <row r="27" ht="20.1" customHeight="1" spans="1:9">
      <c r="A27" s="207">
        <v>22</v>
      </c>
      <c r="B27" s="208" t="s">
        <v>440</v>
      </c>
      <c r="C27" s="208" t="s">
        <v>505</v>
      </c>
      <c r="D27" s="209">
        <v>100</v>
      </c>
      <c r="E27" s="210">
        <v>22</v>
      </c>
      <c r="F27" s="208"/>
      <c r="G27" s="208"/>
      <c r="H27" s="211"/>
      <c r="I27" s="245"/>
    </row>
    <row r="28" ht="20.1" customHeight="1" spans="1:9">
      <c r="A28" s="207">
        <v>23</v>
      </c>
      <c r="B28" s="208" t="s">
        <v>440</v>
      </c>
      <c r="C28" s="208" t="s">
        <v>506</v>
      </c>
      <c r="D28" s="209">
        <v>100</v>
      </c>
      <c r="E28" s="210">
        <v>23</v>
      </c>
      <c r="F28" s="208"/>
      <c r="G28" s="208"/>
      <c r="H28" s="211"/>
      <c r="I28" s="245"/>
    </row>
    <row r="29" ht="20.1" customHeight="1" spans="1:9">
      <c r="A29" s="207">
        <v>24</v>
      </c>
      <c r="B29" s="208" t="s">
        <v>440</v>
      </c>
      <c r="C29" s="208" t="s">
        <v>478</v>
      </c>
      <c r="D29" s="209">
        <v>100</v>
      </c>
      <c r="E29" s="210">
        <v>24</v>
      </c>
      <c r="F29" s="208"/>
      <c r="G29" s="208"/>
      <c r="H29" s="211"/>
      <c r="I29" s="245"/>
    </row>
    <row r="30" ht="20.1" customHeight="1" spans="1:9">
      <c r="A30" s="207">
        <v>25</v>
      </c>
      <c r="B30" s="208" t="s">
        <v>440</v>
      </c>
      <c r="C30" s="208" t="s">
        <v>507</v>
      </c>
      <c r="D30" s="209">
        <v>100</v>
      </c>
      <c r="E30" s="210">
        <v>25</v>
      </c>
      <c r="F30" s="208"/>
      <c r="G30" s="208"/>
      <c r="H30" s="211"/>
      <c r="I30" s="245"/>
    </row>
    <row r="31" ht="20.1" customHeight="1" spans="1:9">
      <c r="A31" s="207">
        <v>26</v>
      </c>
      <c r="B31" s="208" t="s">
        <v>440</v>
      </c>
      <c r="C31" s="208" t="s">
        <v>464</v>
      </c>
      <c r="D31" s="209">
        <v>100</v>
      </c>
      <c r="E31" s="210">
        <v>26</v>
      </c>
      <c r="F31" s="208"/>
      <c r="G31" s="208"/>
      <c r="H31" s="211"/>
      <c r="I31" s="245"/>
    </row>
    <row r="32" ht="20.1" customHeight="1" spans="1:9">
      <c r="A32" s="207">
        <v>27</v>
      </c>
      <c r="B32" s="208" t="s">
        <v>440</v>
      </c>
      <c r="C32" s="208" t="s">
        <v>508</v>
      </c>
      <c r="D32" s="209">
        <v>100</v>
      </c>
      <c r="E32" s="210">
        <v>27</v>
      </c>
      <c r="F32" s="208"/>
      <c r="G32" s="208"/>
      <c r="H32" s="211"/>
      <c r="I32" s="245"/>
    </row>
    <row r="33" ht="20.1" customHeight="1" spans="1:9">
      <c r="A33" s="207">
        <v>28</v>
      </c>
      <c r="B33" s="208" t="s">
        <v>440</v>
      </c>
      <c r="C33" s="208" t="s">
        <v>509</v>
      </c>
      <c r="D33" s="209">
        <v>100</v>
      </c>
      <c r="E33" s="210">
        <v>28</v>
      </c>
      <c r="F33" s="208"/>
      <c r="G33" s="208"/>
      <c r="H33" s="211"/>
      <c r="I33" s="245"/>
    </row>
    <row r="34" ht="20.1" customHeight="1" spans="1:9">
      <c r="A34" s="207">
        <v>29</v>
      </c>
      <c r="B34" s="208" t="s">
        <v>440</v>
      </c>
      <c r="C34" s="208" t="s">
        <v>510</v>
      </c>
      <c r="D34" s="209">
        <v>100</v>
      </c>
      <c r="E34" s="210">
        <v>29</v>
      </c>
      <c r="F34" s="208"/>
      <c r="G34" s="208"/>
      <c r="H34" s="211"/>
      <c r="I34" s="245"/>
    </row>
    <row r="35" ht="20.1" customHeight="1" spans="1:9">
      <c r="A35" s="207">
        <v>30</v>
      </c>
      <c r="B35" s="208" t="s">
        <v>440</v>
      </c>
      <c r="C35" s="208" t="s">
        <v>511</v>
      </c>
      <c r="D35" s="209">
        <v>100</v>
      </c>
      <c r="E35" s="210">
        <v>30</v>
      </c>
      <c r="F35" s="208"/>
      <c r="G35" s="208"/>
      <c r="H35" s="211"/>
      <c r="I35" s="245"/>
    </row>
    <row r="36" ht="20.1" customHeight="1" spans="1:9">
      <c r="A36" s="207">
        <v>31</v>
      </c>
      <c r="B36" s="208" t="s">
        <v>440</v>
      </c>
      <c r="C36" s="208" t="s">
        <v>512</v>
      </c>
      <c r="D36" s="209">
        <v>100</v>
      </c>
      <c r="E36" s="210">
        <v>31</v>
      </c>
      <c r="F36" s="208"/>
      <c r="G36" s="208"/>
      <c r="H36" s="211"/>
      <c r="I36" s="245"/>
    </row>
    <row r="37" ht="20.1" customHeight="1" spans="1:9">
      <c r="A37" s="207">
        <v>32</v>
      </c>
      <c r="B37" s="208" t="s">
        <v>440</v>
      </c>
      <c r="C37" s="208" t="s">
        <v>513</v>
      </c>
      <c r="D37" s="209">
        <v>100</v>
      </c>
      <c r="E37" s="210">
        <v>32</v>
      </c>
      <c r="F37" s="208"/>
      <c r="G37" s="208"/>
      <c r="H37" s="211"/>
      <c r="I37" s="245"/>
    </row>
    <row r="38" ht="20.1" customHeight="1" spans="1:9">
      <c r="A38" s="207">
        <v>33</v>
      </c>
      <c r="B38" s="208" t="s">
        <v>440</v>
      </c>
      <c r="C38" s="208" t="s">
        <v>514</v>
      </c>
      <c r="D38" s="209">
        <v>100</v>
      </c>
      <c r="E38" s="210">
        <v>33</v>
      </c>
      <c r="F38" s="208"/>
      <c r="G38" s="208"/>
      <c r="H38" s="211"/>
      <c r="I38" s="245"/>
    </row>
    <row r="39" ht="20.1" customHeight="1" spans="1:9">
      <c r="A39" s="207">
        <v>34</v>
      </c>
      <c r="B39" s="208" t="s">
        <v>440</v>
      </c>
      <c r="C39" s="208" t="s">
        <v>515</v>
      </c>
      <c r="D39" s="209">
        <v>100</v>
      </c>
      <c r="E39" s="210">
        <v>34</v>
      </c>
      <c r="F39" s="208"/>
      <c r="G39" s="208"/>
      <c r="H39" s="211"/>
      <c r="I39" s="245"/>
    </row>
    <row r="40" ht="20.1" customHeight="1" spans="1:9">
      <c r="A40" s="207">
        <v>35</v>
      </c>
      <c r="B40" s="208" t="s">
        <v>440</v>
      </c>
      <c r="C40" s="208" t="s">
        <v>516</v>
      </c>
      <c r="D40" s="209">
        <v>100</v>
      </c>
      <c r="E40" s="210">
        <v>35</v>
      </c>
      <c r="F40" s="208"/>
      <c r="G40" s="208"/>
      <c r="H40" s="211"/>
      <c r="I40" s="245"/>
    </row>
    <row r="41" ht="20.1" customHeight="1" spans="1:9">
      <c r="A41" s="207">
        <v>36</v>
      </c>
      <c r="B41" s="208" t="s">
        <v>440</v>
      </c>
      <c r="C41" s="208" t="s">
        <v>141</v>
      </c>
      <c r="D41" s="209">
        <v>100</v>
      </c>
      <c r="E41" s="210">
        <v>36</v>
      </c>
      <c r="F41" s="208"/>
      <c r="G41" s="208"/>
      <c r="H41" s="211"/>
      <c r="I41" s="245"/>
    </row>
    <row r="42" ht="20.1" customHeight="1" spans="1:9">
      <c r="A42" s="207">
        <v>37</v>
      </c>
      <c r="B42" s="208" t="s">
        <v>440</v>
      </c>
      <c r="C42" s="208" t="s">
        <v>99</v>
      </c>
      <c r="D42" s="209">
        <v>100</v>
      </c>
      <c r="E42" s="210">
        <v>37</v>
      </c>
      <c r="F42" s="208"/>
      <c r="G42" s="208"/>
      <c r="H42" s="211"/>
      <c r="I42" s="245"/>
    </row>
    <row r="43" ht="20.1" customHeight="1" spans="1:9">
      <c r="A43" s="207">
        <v>38</v>
      </c>
      <c r="B43" s="208" t="s">
        <v>440</v>
      </c>
      <c r="C43" s="208" t="s">
        <v>44</v>
      </c>
      <c r="D43" s="215">
        <v>100</v>
      </c>
      <c r="E43" s="210">
        <v>38</v>
      </c>
      <c r="F43" s="208"/>
      <c r="G43" s="208"/>
      <c r="H43" s="211"/>
      <c r="I43" s="245"/>
    </row>
    <row r="44" ht="20.1" customHeight="1" spans="1:9">
      <c r="A44" s="207">
        <v>39</v>
      </c>
      <c r="B44" s="208" t="s">
        <v>517</v>
      </c>
      <c r="C44" s="208" t="s">
        <v>518</v>
      </c>
      <c r="D44" s="215">
        <v>100</v>
      </c>
      <c r="E44" s="210">
        <v>39</v>
      </c>
      <c r="F44" s="208"/>
      <c r="G44" s="208"/>
      <c r="H44" s="211"/>
      <c r="I44" s="245"/>
    </row>
    <row r="45" ht="20.1" customHeight="1" spans="1:9">
      <c r="A45" s="207">
        <v>40</v>
      </c>
      <c r="B45" s="208" t="s">
        <v>517</v>
      </c>
      <c r="C45" s="208" t="s">
        <v>461</v>
      </c>
      <c r="D45" s="215">
        <v>100</v>
      </c>
      <c r="E45" s="210">
        <v>40</v>
      </c>
      <c r="F45" s="208"/>
      <c r="G45" s="208"/>
      <c r="H45" s="211"/>
      <c r="I45" s="245"/>
    </row>
    <row r="46" ht="20.1" customHeight="1" spans="1:9">
      <c r="A46" s="207">
        <v>41</v>
      </c>
      <c r="B46" s="208" t="s">
        <v>517</v>
      </c>
      <c r="C46" s="208" t="s">
        <v>519</v>
      </c>
      <c r="D46" s="215">
        <v>100</v>
      </c>
      <c r="E46" s="210">
        <v>41</v>
      </c>
      <c r="F46" s="208"/>
      <c r="G46" s="208"/>
      <c r="H46" s="211"/>
      <c r="I46" s="245"/>
    </row>
    <row r="47" ht="20.1" customHeight="1" spans="1:9">
      <c r="A47" s="207">
        <v>42</v>
      </c>
      <c r="B47" s="208" t="s">
        <v>517</v>
      </c>
      <c r="C47" s="208" t="s">
        <v>520</v>
      </c>
      <c r="D47" s="215">
        <v>100</v>
      </c>
      <c r="E47" s="210">
        <v>42</v>
      </c>
      <c r="F47" s="208"/>
      <c r="G47" s="208"/>
      <c r="H47" s="211"/>
      <c r="I47" s="245"/>
    </row>
    <row r="48" ht="20.1" customHeight="1" spans="1:9">
      <c r="A48" s="207">
        <v>43</v>
      </c>
      <c r="B48" s="208" t="s">
        <v>521</v>
      </c>
      <c r="C48" s="208" t="s">
        <v>522</v>
      </c>
      <c r="D48" s="215">
        <v>100</v>
      </c>
      <c r="E48" s="210">
        <v>43</v>
      </c>
      <c r="F48" s="208"/>
      <c r="G48" s="208"/>
      <c r="H48" s="211"/>
      <c r="I48" s="245"/>
    </row>
    <row r="49" ht="20.1" customHeight="1" spans="1:9">
      <c r="A49" s="207">
        <v>44</v>
      </c>
      <c r="B49" s="208" t="s">
        <v>523</v>
      </c>
      <c r="C49" s="208" t="s">
        <v>156</v>
      </c>
      <c r="D49" s="215">
        <v>100</v>
      </c>
      <c r="E49" s="210">
        <v>44</v>
      </c>
      <c r="F49" s="208"/>
      <c r="G49" s="208"/>
      <c r="H49" s="211"/>
      <c r="I49" s="245"/>
    </row>
    <row r="50" ht="35.25" customHeight="1" spans="1:9">
      <c r="A50" s="207">
        <v>45</v>
      </c>
      <c r="B50" s="208" t="s">
        <v>524</v>
      </c>
      <c r="C50" s="216" t="s">
        <v>525</v>
      </c>
      <c r="D50" s="215">
        <v>7084</v>
      </c>
      <c r="E50" s="217"/>
      <c r="F50" s="218"/>
      <c r="G50" s="219"/>
      <c r="H50" s="220"/>
      <c r="I50" s="247"/>
    </row>
    <row r="51" ht="20.1" customHeight="1" spans="1:9">
      <c r="A51" s="207">
        <v>46</v>
      </c>
      <c r="B51" s="208"/>
      <c r="C51" s="208"/>
      <c r="D51" s="215"/>
      <c r="E51" s="221"/>
      <c r="F51" s="222"/>
      <c r="G51" s="222"/>
      <c r="H51" s="223"/>
      <c r="I51" s="248"/>
    </row>
    <row r="52" ht="20.1" customHeight="1" spans="1:9">
      <c r="A52" s="207">
        <v>47</v>
      </c>
      <c r="B52" s="208"/>
      <c r="C52" s="208"/>
      <c r="D52" s="215"/>
      <c r="E52" s="221"/>
      <c r="F52" s="224"/>
      <c r="G52" s="224"/>
      <c r="H52" s="225"/>
      <c r="I52" s="249"/>
    </row>
    <row r="53" ht="20.1" customHeight="1" spans="1:9">
      <c r="A53" s="207">
        <v>48</v>
      </c>
      <c r="B53" s="208"/>
      <c r="C53" s="208"/>
      <c r="D53" s="215"/>
      <c r="E53" s="221"/>
      <c r="F53" s="224"/>
      <c r="G53" s="224"/>
      <c r="H53" s="225"/>
      <c r="I53" s="249"/>
    </row>
    <row r="54" ht="20.1" customHeight="1" spans="1:9">
      <c r="A54" s="207">
        <v>49</v>
      </c>
      <c r="B54" s="208"/>
      <c r="C54" s="208"/>
      <c r="D54" s="215"/>
      <c r="E54" s="221"/>
      <c r="F54" s="224"/>
      <c r="G54" s="224"/>
      <c r="H54" s="225"/>
      <c r="I54" s="249"/>
    </row>
    <row r="55" ht="20.1" customHeight="1" spans="1:9">
      <c r="A55" s="207">
        <v>50</v>
      </c>
      <c r="B55" s="208"/>
      <c r="C55" s="208"/>
      <c r="D55" s="215"/>
      <c r="E55" s="221"/>
      <c r="F55" s="224"/>
      <c r="G55" s="224"/>
      <c r="H55" s="225"/>
      <c r="I55" s="249"/>
    </row>
    <row r="56" ht="20.1" customHeight="1" spans="1:9">
      <c r="A56" s="207">
        <v>51</v>
      </c>
      <c r="B56" s="208"/>
      <c r="C56" s="208"/>
      <c r="D56" s="215"/>
      <c r="E56" s="221"/>
      <c r="F56" s="224"/>
      <c r="G56" s="224"/>
      <c r="H56" s="225"/>
      <c r="I56" s="249"/>
    </row>
    <row r="57" ht="20.1" customHeight="1" spans="1:9">
      <c r="A57" s="207">
        <v>52</v>
      </c>
      <c r="B57" s="208"/>
      <c r="C57" s="208"/>
      <c r="D57" s="215"/>
      <c r="E57" s="210"/>
      <c r="F57" s="208"/>
      <c r="G57" s="208"/>
      <c r="H57" s="211"/>
      <c r="I57" s="245"/>
    </row>
    <row r="58" ht="20.1" customHeight="1" spans="1:9">
      <c r="A58" s="207"/>
      <c r="B58" s="208"/>
      <c r="C58" s="208"/>
      <c r="D58" s="215"/>
      <c r="E58" s="210"/>
      <c r="F58" s="208"/>
      <c r="G58" s="208"/>
      <c r="H58" s="211"/>
      <c r="I58" s="245"/>
    </row>
    <row r="59" ht="20.1" customHeight="1" spans="1:9">
      <c r="A59" s="207"/>
      <c r="B59" s="208"/>
      <c r="C59" s="208"/>
      <c r="D59" s="215"/>
      <c r="E59" s="210"/>
      <c r="F59" s="208"/>
      <c r="G59" s="208"/>
      <c r="H59" s="211"/>
      <c r="I59" s="245"/>
    </row>
    <row r="60" ht="20.1" customHeight="1" spans="1:9">
      <c r="A60" s="207"/>
      <c r="B60" s="208"/>
      <c r="C60" s="208"/>
      <c r="D60" s="215"/>
      <c r="E60" s="210"/>
      <c r="F60" s="208"/>
      <c r="G60" s="208"/>
      <c r="H60" s="211"/>
      <c r="I60" s="245"/>
    </row>
    <row r="61" ht="20.1" customHeight="1" spans="1:9">
      <c r="A61" s="207"/>
      <c r="B61" s="208"/>
      <c r="C61" s="208"/>
      <c r="D61" s="215"/>
      <c r="E61" s="210"/>
      <c r="F61" s="208"/>
      <c r="G61" s="208"/>
      <c r="H61" s="211"/>
      <c r="I61" s="245"/>
    </row>
    <row r="62" ht="20.1" customHeight="1" spans="1:9">
      <c r="A62" s="226"/>
      <c r="B62" s="227"/>
      <c r="C62" s="228" t="s">
        <v>526</v>
      </c>
      <c r="D62" s="229">
        <f>SUM(D6:D61)</f>
        <v>11484</v>
      </c>
      <c r="E62" s="230"/>
      <c r="F62" s="231"/>
      <c r="G62" s="231"/>
      <c r="H62" s="232"/>
      <c r="I62" s="250"/>
    </row>
    <row r="63" ht="24" customHeight="1" spans="1:9">
      <c r="A63" s="226"/>
      <c r="B63" s="233" t="s">
        <v>527</v>
      </c>
      <c r="C63" s="234"/>
      <c r="D63" s="229">
        <f>H63</f>
        <v>-6926</v>
      </c>
      <c r="E63" s="230"/>
      <c r="F63" s="231"/>
      <c r="G63" s="231"/>
      <c r="H63" s="235">
        <f>SUM(H6:H62)</f>
        <v>-6926</v>
      </c>
      <c r="I63" s="250"/>
    </row>
    <row r="64" ht="41.25" customHeight="1" spans="1:9">
      <c r="A64" s="236" t="s">
        <v>528</v>
      </c>
      <c r="B64" s="237"/>
      <c r="C64" s="238"/>
      <c r="D64" s="239">
        <f>SUM(D62:D63)</f>
        <v>4558</v>
      </c>
      <c r="E64" s="240"/>
      <c r="F64" s="241"/>
      <c r="G64" s="242"/>
      <c r="H64" s="243"/>
      <c r="I64" s="251"/>
    </row>
    <row r="65" ht="27.75" customHeight="1" spans="1:9">
      <c r="A65" s="252"/>
      <c r="B65" s="253" t="s">
        <v>529</v>
      </c>
      <c r="C65" s="253"/>
      <c r="D65" s="253"/>
      <c r="E65" s="253"/>
      <c r="F65" s="253"/>
      <c r="G65" s="253"/>
      <c r="H65" s="253"/>
      <c r="I65" s="253"/>
    </row>
  </sheetData>
  <mergeCells count="8">
    <mergeCell ref="A3:B3"/>
    <mergeCell ref="C3:G3"/>
    <mergeCell ref="A4:D4"/>
    <mergeCell ref="E4:I4"/>
    <mergeCell ref="B63:C63"/>
    <mergeCell ref="A64:C64"/>
    <mergeCell ref="B65:I65"/>
    <mergeCell ref="A1:I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topLeftCell="A27" workbookViewId="0">
      <selection activeCell="H15" sqref="H15"/>
    </sheetView>
  </sheetViews>
  <sheetFormatPr defaultColWidth="10" defaultRowHeight="13.5"/>
  <cols>
    <col min="2" max="2" width="21.1083333333333" customWidth="1"/>
    <col min="3" max="3" width="30.6666666666667" customWidth="1"/>
    <col min="4" max="4" width="23.2166666666667" customWidth="1"/>
    <col min="5" max="6" width="18.4416666666667" customWidth="1"/>
    <col min="7" max="7" width="19.3333333333333" style="25" customWidth="1"/>
    <col min="8" max="8" width="19" customWidth="1"/>
    <col min="9" max="9" width="21.1083333333333" style="25" customWidth="1"/>
    <col min="10" max="10" width="6.10833333333333" customWidth="1"/>
    <col min="11" max="11" width="3.44166666666667" style="25" customWidth="1"/>
    <col min="12" max="12" width="13.6666666666667" customWidth="1"/>
    <col min="13" max="13" width="11.3333333333333" style="25" customWidth="1"/>
    <col min="14" max="14" width="7.44166666666667" customWidth="1"/>
    <col min="15" max="15" width="12.6666666666667" customWidth="1"/>
  </cols>
  <sheetData>
    <row r="1" ht="54.75" customHeight="1" spans="1:10">
      <c r="A1" s="26" t="s">
        <v>530</v>
      </c>
      <c r="B1" s="26"/>
      <c r="C1" s="26"/>
      <c r="D1" s="26"/>
      <c r="E1" s="26"/>
      <c r="F1" s="26"/>
      <c r="G1" s="26"/>
      <c r="H1" s="26"/>
      <c r="I1" s="26"/>
      <c r="J1" s="26"/>
    </row>
    <row r="2" ht="19.5" spans="1:10">
      <c r="A2" s="27" t="s">
        <v>6</v>
      </c>
      <c r="B2" s="28" t="s">
        <v>5</v>
      </c>
      <c r="C2" s="29" t="s">
        <v>531</v>
      </c>
      <c r="D2" s="30" t="s">
        <v>532</v>
      </c>
      <c r="E2" s="31" t="s">
        <v>533</v>
      </c>
      <c r="F2" s="32" t="s">
        <v>534</v>
      </c>
      <c r="G2" s="33"/>
      <c r="H2" s="34" t="s">
        <v>535</v>
      </c>
      <c r="I2" s="33"/>
      <c r="J2" s="168"/>
    </row>
    <row r="3" ht="19.5" spans="1:10">
      <c r="A3" s="35"/>
      <c r="B3" s="36"/>
      <c r="C3" s="37"/>
      <c r="D3" s="38" t="s">
        <v>536</v>
      </c>
      <c r="E3" s="39" t="s">
        <v>4</v>
      </c>
      <c r="F3" s="40" t="s">
        <v>358</v>
      </c>
      <c r="G3" s="41" t="s">
        <v>537</v>
      </c>
      <c r="H3" s="42" t="s">
        <v>358</v>
      </c>
      <c r="I3" s="169" t="s">
        <v>537</v>
      </c>
      <c r="J3" s="166"/>
    </row>
    <row r="4" ht="24.9" customHeight="1" spans="1:10">
      <c r="A4" s="43" t="s">
        <v>538</v>
      </c>
      <c r="B4" s="44" t="s">
        <v>539</v>
      </c>
      <c r="C4" s="45" t="s">
        <v>540</v>
      </c>
      <c r="D4" s="46"/>
      <c r="E4" s="47" t="s">
        <v>541</v>
      </c>
      <c r="F4" s="48" t="s">
        <v>542</v>
      </c>
      <c r="G4" s="49">
        <v>1000</v>
      </c>
      <c r="H4" s="48" t="s">
        <v>194</v>
      </c>
      <c r="I4" s="170">
        <v>1000</v>
      </c>
      <c r="J4" s="166"/>
    </row>
    <row r="5" ht="24.9" customHeight="1" spans="1:10">
      <c r="A5" s="50"/>
      <c r="B5" s="51"/>
      <c r="C5" s="52"/>
      <c r="D5" s="53"/>
      <c r="E5" s="54"/>
      <c r="F5" s="48"/>
      <c r="G5" s="49"/>
      <c r="H5" s="55"/>
      <c r="I5" s="86"/>
      <c r="J5" s="166"/>
    </row>
    <row r="6" ht="24.9" customHeight="1" spans="1:10">
      <c r="A6" s="56"/>
      <c r="B6" s="57"/>
      <c r="C6" s="58"/>
      <c r="D6" s="59"/>
      <c r="E6" s="60"/>
      <c r="F6" s="61"/>
      <c r="G6" s="62"/>
      <c r="H6" s="63"/>
      <c r="I6" s="171"/>
      <c r="J6" s="166"/>
    </row>
    <row r="7" ht="24.9" customHeight="1" spans="1:10">
      <c r="A7" s="64" t="s">
        <v>543</v>
      </c>
      <c r="B7" s="44" t="s">
        <v>544</v>
      </c>
      <c r="C7" s="46" t="s">
        <v>545</v>
      </c>
      <c r="D7" s="46"/>
      <c r="E7" s="65" t="s">
        <v>546</v>
      </c>
      <c r="F7" s="48" t="s">
        <v>542</v>
      </c>
      <c r="G7" s="66">
        <v>1000</v>
      </c>
      <c r="H7" s="48" t="s">
        <v>194</v>
      </c>
      <c r="I7" s="172">
        <v>1000</v>
      </c>
      <c r="J7" s="166"/>
    </row>
    <row r="8" ht="24.9" customHeight="1" spans="1:10">
      <c r="A8" s="67"/>
      <c r="B8" s="68"/>
      <c r="C8" s="69"/>
      <c r="D8" s="70"/>
      <c r="E8" s="71"/>
      <c r="F8" s="72"/>
      <c r="G8" s="73"/>
      <c r="H8" s="72"/>
      <c r="I8" s="73"/>
      <c r="J8" s="166"/>
    </row>
    <row r="9" ht="24.9" customHeight="1" spans="1:10">
      <c r="A9" s="43" t="s">
        <v>547</v>
      </c>
      <c r="B9" s="44" t="s">
        <v>548</v>
      </c>
      <c r="C9" s="45" t="s">
        <v>549</v>
      </c>
      <c r="D9" s="46"/>
      <c r="E9" s="74" t="s">
        <v>550</v>
      </c>
      <c r="F9" s="48" t="s">
        <v>542</v>
      </c>
      <c r="G9" s="49">
        <v>1000</v>
      </c>
      <c r="H9" s="48" t="s">
        <v>194</v>
      </c>
      <c r="I9" s="170">
        <v>1000</v>
      </c>
      <c r="J9" s="166"/>
    </row>
    <row r="10" ht="24.9" customHeight="1" spans="1:10">
      <c r="A10" s="50"/>
      <c r="B10" s="75" t="s">
        <v>551</v>
      </c>
      <c r="C10" s="76" t="s">
        <v>552</v>
      </c>
      <c r="D10" s="53"/>
      <c r="E10" s="77" t="s">
        <v>550</v>
      </c>
      <c r="F10" s="48" t="s">
        <v>542</v>
      </c>
      <c r="G10" s="49">
        <v>1000</v>
      </c>
      <c r="H10" s="48" t="s">
        <v>194</v>
      </c>
      <c r="I10" s="86">
        <v>1000</v>
      </c>
      <c r="J10" s="166"/>
    </row>
    <row r="11" ht="24.9" customHeight="1" spans="1:10">
      <c r="A11" s="56"/>
      <c r="B11" s="78"/>
      <c r="C11" s="79"/>
      <c r="D11" s="80"/>
      <c r="E11" s="81"/>
      <c r="F11" s="72"/>
      <c r="G11" s="82"/>
      <c r="H11" s="72"/>
      <c r="I11" s="73"/>
      <c r="J11" s="166"/>
    </row>
    <row r="12" ht="24.9" customHeight="1" spans="1:10">
      <c r="A12" s="50" t="s">
        <v>553</v>
      </c>
      <c r="B12" s="75" t="s">
        <v>554</v>
      </c>
      <c r="C12" s="76" t="s">
        <v>555</v>
      </c>
      <c r="D12" s="53"/>
      <c r="E12" s="83" t="s">
        <v>556</v>
      </c>
      <c r="F12" s="48" t="s">
        <v>542</v>
      </c>
      <c r="G12" s="49">
        <v>1000</v>
      </c>
      <c r="H12" s="48" t="s">
        <v>194</v>
      </c>
      <c r="I12" s="173">
        <v>1000</v>
      </c>
      <c r="J12" s="166"/>
    </row>
    <row r="13" ht="24.9" customHeight="1" spans="1:10">
      <c r="A13" s="56"/>
      <c r="B13" s="78"/>
      <c r="C13" s="79"/>
      <c r="D13" s="80"/>
      <c r="E13" s="84"/>
      <c r="F13" s="72"/>
      <c r="G13" s="73"/>
      <c r="H13" s="72"/>
      <c r="I13" s="73"/>
      <c r="J13" s="166"/>
    </row>
    <row r="14" ht="24.9" customHeight="1" spans="1:10">
      <c r="A14" s="43" t="s">
        <v>557</v>
      </c>
      <c r="B14" s="44" t="s">
        <v>558</v>
      </c>
      <c r="C14" s="45" t="s">
        <v>559</v>
      </c>
      <c r="D14" s="46"/>
      <c r="E14" s="47" t="s">
        <v>560</v>
      </c>
      <c r="F14" s="48" t="s">
        <v>542</v>
      </c>
      <c r="G14" s="49">
        <v>1000</v>
      </c>
      <c r="H14" s="85" t="s">
        <v>561</v>
      </c>
      <c r="I14" s="174"/>
      <c r="J14" s="166"/>
    </row>
    <row r="15" ht="24.9" customHeight="1" spans="1:10">
      <c r="A15" s="50"/>
      <c r="B15" s="75"/>
      <c r="C15" s="76"/>
      <c r="D15" s="53"/>
      <c r="E15" s="83"/>
      <c r="F15" s="55"/>
      <c r="G15" s="86"/>
      <c r="H15" s="55"/>
      <c r="I15" s="86"/>
      <c r="J15" s="166"/>
    </row>
    <row r="16" ht="24.9" customHeight="1" spans="1:10">
      <c r="A16" s="56"/>
      <c r="B16" s="78"/>
      <c r="C16" s="79"/>
      <c r="D16" s="80"/>
      <c r="E16" s="84"/>
      <c r="F16" s="72"/>
      <c r="G16" s="73"/>
      <c r="H16" s="72"/>
      <c r="I16" s="73"/>
      <c r="J16" s="166"/>
    </row>
    <row r="17" ht="24.9" customHeight="1" spans="1:10">
      <c r="A17" s="43" t="s">
        <v>562</v>
      </c>
      <c r="B17" s="44" t="s">
        <v>563</v>
      </c>
      <c r="C17" s="45" t="s">
        <v>564</v>
      </c>
      <c r="D17" s="46"/>
      <c r="E17" s="47" t="s">
        <v>565</v>
      </c>
      <c r="F17" s="48" t="s">
        <v>542</v>
      </c>
      <c r="G17" s="49">
        <v>1000</v>
      </c>
      <c r="H17" s="48" t="s">
        <v>194</v>
      </c>
      <c r="I17" s="173">
        <v>1000</v>
      </c>
      <c r="J17" s="166"/>
    </row>
    <row r="18" ht="24.9" customHeight="1" spans="1:10">
      <c r="A18" s="50"/>
      <c r="B18" s="75"/>
      <c r="C18" s="76"/>
      <c r="D18" s="53"/>
      <c r="E18" s="83"/>
      <c r="F18" s="87"/>
      <c r="G18" s="88"/>
      <c r="H18" s="55"/>
      <c r="I18" s="86"/>
      <c r="J18" s="166"/>
    </row>
    <row r="19" ht="24.9" customHeight="1" spans="1:10">
      <c r="A19" s="56"/>
      <c r="B19" s="78"/>
      <c r="C19" s="79"/>
      <c r="D19" s="80"/>
      <c r="E19" s="84"/>
      <c r="F19" s="89"/>
      <c r="G19" s="90"/>
      <c r="H19" s="72"/>
      <c r="I19" s="73"/>
      <c r="J19" s="166"/>
    </row>
    <row r="20" ht="24.9" customHeight="1" spans="1:10">
      <c r="A20" s="91"/>
      <c r="B20" s="44"/>
      <c r="C20" s="45"/>
      <c r="D20" s="46"/>
      <c r="E20" s="47"/>
      <c r="F20" s="92"/>
      <c r="G20" s="93"/>
      <c r="H20" s="48"/>
      <c r="I20" s="170"/>
      <c r="J20" s="166"/>
    </row>
    <row r="21" ht="24.9" customHeight="1" spans="1:10">
      <c r="A21" s="94"/>
      <c r="B21" s="75"/>
      <c r="C21" s="76"/>
      <c r="D21" s="53"/>
      <c r="E21" s="83"/>
      <c r="F21" s="87"/>
      <c r="G21" s="88"/>
      <c r="H21" s="55"/>
      <c r="I21" s="86"/>
      <c r="J21" s="166"/>
    </row>
    <row r="22" ht="24.9" customHeight="1" spans="1:10">
      <c r="A22" s="95"/>
      <c r="B22" s="78"/>
      <c r="C22" s="79"/>
      <c r="D22" s="80"/>
      <c r="E22" s="84"/>
      <c r="F22" s="89"/>
      <c r="G22" s="90"/>
      <c r="H22" s="72"/>
      <c r="I22" s="73"/>
      <c r="J22" s="166"/>
    </row>
    <row r="23" ht="24.9" customHeight="1" spans="1:10">
      <c r="A23" s="91"/>
      <c r="B23" s="96"/>
      <c r="C23" s="97"/>
      <c r="D23" s="98"/>
      <c r="E23" s="99"/>
      <c r="F23" s="100"/>
      <c r="G23" s="101"/>
      <c r="H23" s="102"/>
      <c r="I23" s="175"/>
      <c r="J23" s="166"/>
    </row>
    <row r="24" ht="24.9" customHeight="1" spans="1:10">
      <c r="A24" s="103"/>
      <c r="B24" s="104"/>
      <c r="C24" s="105"/>
      <c r="D24" s="106"/>
      <c r="E24" s="107"/>
      <c r="F24" s="108" t="s">
        <v>566</v>
      </c>
      <c r="G24" s="109">
        <f>SUM(G4:G23)</f>
        <v>7000</v>
      </c>
      <c r="H24" s="104" t="s">
        <v>566</v>
      </c>
      <c r="I24" s="176">
        <f>SUM(I4:I23)</f>
        <v>6000</v>
      </c>
      <c r="J24" s="166"/>
    </row>
    <row r="25" ht="31.2" customHeight="1"/>
    <row r="26" ht="49.5" customHeight="1" spans="1:15">
      <c r="A26" s="26" t="s">
        <v>567</v>
      </c>
      <c r="B26" s="26"/>
      <c r="C26" s="26"/>
      <c r="D26" s="26"/>
      <c r="E26" s="26"/>
      <c r="F26" s="26"/>
      <c r="G26" s="26"/>
      <c r="H26" s="26"/>
      <c r="I26" s="26"/>
      <c r="J26" s="26"/>
      <c r="K26" s="168"/>
      <c r="L26" s="168"/>
      <c r="M26" s="168"/>
      <c r="N26" s="168"/>
      <c r="O26" s="166"/>
    </row>
    <row r="27" ht="27" customHeight="1" spans="1:15">
      <c r="A27" s="27" t="s">
        <v>6</v>
      </c>
      <c r="B27" s="28" t="s">
        <v>5</v>
      </c>
      <c r="C27" s="29" t="s">
        <v>531</v>
      </c>
      <c r="D27" s="30" t="s">
        <v>532</v>
      </c>
      <c r="E27" s="31" t="s">
        <v>533</v>
      </c>
      <c r="F27" s="32" t="s">
        <v>568</v>
      </c>
      <c r="G27" s="33"/>
      <c r="H27" s="34" t="s">
        <v>569</v>
      </c>
      <c r="I27" s="32"/>
      <c r="J27" s="177" t="s">
        <v>325</v>
      </c>
      <c r="K27" s="168"/>
      <c r="L27" s="168"/>
      <c r="M27" s="168"/>
      <c r="N27" s="168"/>
      <c r="O27" s="166"/>
    </row>
    <row r="28" ht="27" customHeight="1" spans="1:15">
      <c r="A28" s="35"/>
      <c r="B28" s="36"/>
      <c r="C28" s="37"/>
      <c r="D28" s="38" t="s">
        <v>536</v>
      </c>
      <c r="E28" s="39" t="s">
        <v>4</v>
      </c>
      <c r="F28" s="40" t="s">
        <v>358</v>
      </c>
      <c r="G28" s="41" t="s">
        <v>537</v>
      </c>
      <c r="H28" s="42" t="s">
        <v>358</v>
      </c>
      <c r="I28" s="178" t="s">
        <v>537</v>
      </c>
      <c r="J28" s="179"/>
      <c r="K28" s="167"/>
      <c r="L28" s="166"/>
      <c r="M28" s="167"/>
      <c r="N28" s="166"/>
      <c r="O28" s="166"/>
    </row>
    <row r="29" ht="24.9" customHeight="1" spans="1:15">
      <c r="A29" s="43" t="s">
        <v>538</v>
      </c>
      <c r="B29" s="110" t="s">
        <v>539</v>
      </c>
      <c r="C29" s="111" t="s">
        <v>540</v>
      </c>
      <c r="D29" s="112"/>
      <c r="E29" s="113" t="s">
        <v>541</v>
      </c>
      <c r="F29" s="114" t="s">
        <v>570</v>
      </c>
      <c r="G29" s="115">
        <v>1000</v>
      </c>
      <c r="H29" s="114" t="s">
        <v>571</v>
      </c>
      <c r="I29" s="115">
        <v>1000</v>
      </c>
      <c r="J29" s="180"/>
      <c r="K29" s="167"/>
      <c r="L29" s="166"/>
      <c r="M29" s="167"/>
      <c r="N29" s="166"/>
      <c r="O29" s="166"/>
    </row>
    <row r="30" ht="24.9" customHeight="1" spans="1:15">
      <c r="A30" s="50"/>
      <c r="B30" s="116" t="s">
        <v>572</v>
      </c>
      <c r="C30" s="117" t="s">
        <v>573</v>
      </c>
      <c r="D30" s="118"/>
      <c r="E30" s="119" t="s">
        <v>574</v>
      </c>
      <c r="F30" s="120" t="s">
        <v>570</v>
      </c>
      <c r="G30" s="121">
        <v>1000</v>
      </c>
      <c r="H30" s="122" t="s">
        <v>571</v>
      </c>
      <c r="I30" s="121">
        <v>1000</v>
      </c>
      <c r="J30" s="181"/>
      <c r="K30" s="167"/>
      <c r="L30" s="166"/>
      <c r="M30" s="167"/>
      <c r="N30" s="166"/>
      <c r="O30" s="166"/>
    </row>
    <row r="31" ht="24.9" customHeight="1" spans="1:15">
      <c r="A31" s="50"/>
      <c r="B31" s="123"/>
      <c r="C31" s="124"/>
      <c r="D31" s="125"/>
      <c r="E31" s="126"/>
      <c r="F31" s="127"/>
      <c r="G31" s="128"/>
      <c r="H31" s="129"/>
      <c r="I31" s="182"/>
      <c r="J31" s="183"/>
      <c r="K31" s="167"/>
      <c r="L31" s="166"/>
      <c r="M31" s="167"/>
      <c r="N31" s="166"/>
      <c r="O31" s="166"/>
    </row>
    <row r="32" ht="24.9" customHeight="1" spans="1:15">
      <c r="A32" s="43" t="s">
        <v>543</v>
      </c>
      <c r="B32" s="110" t="s">
        <v>575</v>
      </c>
      <c r="C32" s="130" t="s">
        <v>576</v>
      </c>
      <c r="D32" s="112"/>
      <c r="E32" s="131" t="s">
        <v>577</v>
      </c>
      <c r="F32" s="132" t="s">
        <v>570</v>
      </c>
      <c r="G32" s="133">
        <v>1000</v>
      </c>
      <c r="H32" s="134" t="s">
        <v>578</v>
      </c>
      <c r="I32" s="184" t="s">
        <v>579</v>
      </c>
      <c r="J32" s="185"/>
      <c r="K32" s="167"/>
      <c r="L32" s="166"/>
      <c r="M32" s="167"/>
      <c r="N32" s="166"/>
      <c r="O32" s="166"/>
    </row>
    <row r="33" ht="24.9" customHeight="1" spans="1:15">
      <c r="A33" s="50"/>
      <c r="B33" s="135" t="s">
        <v>580</v>
      </c>
      <c r="C33" s="136" t="s">
        <v>581</v>
      </c>
      <c r="D33" s="118"/>
      <c r="E33" s="137" t="s">
        <v>560</v>
      </c>
      <c r="F33" s="122" t="s">
        <v>570</v>
      </c>
      <c r="G33" s="138">
        <v>1000</v>
      </c>
      <c r="H33" s="122" t="s">
        <v>571</v>
      </c>
      <c r="I33" s="138">
        <v>1000</v>
      </c>
      <c r="J33" s="186" t="s">
        <v>582</v>
      </c>
      <c r="K33" s="167"/>
      <c r="L33" s="166"/>
      <c r="M33" s="167"/>
      <c r="N33" s="166"/>
      <c r="O33" s="166"/>
    </row>
    <row r="34" ht="24.9" customHeight="1" spans="1:15">
      <c r="A34" s="56"/>
      <c r="B34" s="123" t="s">
        <v>544</v>
      </c>
      <c r="C34" s="124" t="s">
        <v>545</v>
      </c>
      <c r="D34" s="125"/>
      <c r="E34" s="139" t="s">
        <v>546</v>
      </c>
      <c r="F34" s="140" t="s">
        <v>570</v>
      </c>
      <c r="G34" s="141">
        <v>1000</v>
      </c>
      <c r="H34" s="129" t="s">
        <v>571</v>
      </c>
      <c r="I34" s="141">
        <v>1000</v>
      </c>
      <c r="J34" s="187"/>
      <c r="K34" s="167"/>
      <c r="L34" s="166"/>
      <c r="M34" s="167"/>
      <c r="N34" s="166"/>
      <c r="O34" s="166"/>
    </row>
    <row r="35" ht="24.9" customHeight="1" spans="1:15">
      <c r="A35" s="43" t="s">
        <v>547</v>
      </c>
      <c r="B35" s="110" t="s">
        <v>548</v>
      </c>
      <c r="C35" s="111" t="s">
        <v>549</v>
      </c>
      <c r="D35" s="112"/>
      <c r="E35" s="142" t="s">
        <v>550</v>
      </c>
      <c r="F35" s="143" t="s">
        <v>570</v>
      </c>
      <c r="G35" s="144">
        <v>1000</v>
      </c>
      <c r="H35" s="114" t="s">
        <v>571</v>
      </c>
      <c r="I35" s="133">
        <v>1000</v>
      </c>
      <c r="J35" s="180"/>
      <c r="K35" s="167"/>
      <c r="L35" s="166"/>
      <c r="M35" s="167"/>
      <c r="N35" s="166"/>
      <c r="O35" s="166"/>
    </row>
    <row r="36" ht="24.9" customHeight="1" spans="1:15">
      <c r="A36" s="50"/>
      <c r="B36" s="135" t="s">
        <v>551</v>
      </c>
      <c r="C36" s="145" t="s">
        <v>552</v>
      </c>
      <c r="D36" s="118"/>
      <c r="E36" s="146" t="s">
        <v>550</v>
      </c>
      <c r="F36" s="120" t="s">
        <v>570</v>
      </c>
      <c r="G36" s="121">
        <v>1000</v>
      </c>
      <c r="H36" s="122" t="s">
        <v>571</v>
      </c>
      <c r="I36" s="138">
        <v>1000</v>
      </c>
      <c r="J36" s="181"/>
      <c r="K36" s="167"/>
      <c r="L36" s="166"/>
      <c r="M36" s="167"/>
      <c r="N36" s="166"/>
      <c r="O36" s="166"/>
    </row>
    <row r="37" ht="24.9" customHeight="1" spans="1:15">
      <c r="A37" s="56"/>
      <c r="B37" s="147"/>
      <c r="C37" s="148"/>
      <c r="D37" s="125"/>
      <c r="E37" s="149"/>
      <c r="F37" s="129"/>
      <c r="G37" s="150"/>
      <c r="H37" s="140"/>
      <c r="I37" s="141"/>
      <c r="J37" s="183"/>
      <c r="K37" s="167"/>
      <c r="L37" s="166"/>
      <c r="M37" s="167"/>
      <c r="N37" s="166"/>
      <c r="O37" s="166"/>
    </row>
    <row r="38" ht="24.9" customHeight="1" spans="1:15">
      <c r="A38" s="43" t="s">
        <v>553</v>
      </c>
      <c r="B38" s="110" t="s">
        <v>583</v>
      </c>
      <c r="C38" s="111" t="s">
        <v>584</v>
      </c>
      <c r="D38" s="112"/>
      <c r="E38" s="113" t="s">
        <v>560</v>
      </c>
      <c r="F38" s="114" t="s">
        <v>570</v>
      </c>
      <c r="G38" s="151">
        <v>1000</v>
      </c>
      <c r="H38" s="152" t="s">
        <v>585</v>
      </c>
      <c r="I38" s="184" t="s">
        <v>579</v>
      </c>
      <c r="J38" s="180"/>
      <c r="K38" s="167"/>
      <c r="L38" s="166"/>
      <c r="M38" s="167"/>
      <c r="N38" s="166"/>
      <c r="O38" s="166"/>
    </row>
    <row r="39" ht="24.9" customHeight="1" spans="1:15">
      <c r="A39" s="50"/>
      <c r="B39" s="135" t="s">
        <v>554</v>
      </c>
      <c r="C39" s="145" t="s">
        <v>555</v>
      </c>
      <c r="D39" s="118"/>
      <c r="E39" s="146" t="s">
        <v>556</v>
      </c>
      <c r="F39" s="122" t="s">
        <v>570</v>
      </c>
      <c r="G39" s="121">
        <v>1000</v>
      </c>
      <c r="H39" s="120" t="s">
        <v>571</v>
      </c>
      <c r="I39" s="138">
        <v>1000</v>
      </c>
      <c r="J39" s="181"/>
      <c r="K39" s="167"/>
      <c r="L39" s="166"/>
      <c r="M39" s="167"/>
      <c r="N39" s="166"/>
      <c r="O39" s="166"/>
    </row>
    <row r="40" ht="24.9" customHeight="1" spans="1:15">
      <c r="A40" s="56"/>
      <c r="B40" s="147"/>
      <c r="C40" s="148"/>
      <c r="D40" s="125"/>
      <c r="E40" s="149"/>
      <c r="F40" s="129"/>
      <c r="G40" s="150"/>
      <c r="H40" s="129"/>
      <c r="I40" s="141"/>
      <c r="J40" s="183"/>
      <c r="K40" s="167"/>
      <c r="L40" s="166"/>
      <c r="M40" s="167"/>
      <c r="N40" s="166"/>
      <c r="O40" s="166"/>
    </row>
    <row r="41" ht="24.9" customHeight="1" spans="1:15">
      <c r="A41" s="43" t="s">
        <v>557</v>
      </c>
      <c r="B41" s="110" t="s">
        <v>558</v>
      </c>
      <c r="C41" s="111" t="s">
        <v>559</v>
      </c>
      <c r="D41" s="112"/>
      <c r="E41" s="113" t="s">
        <v>560</v>
      </c>
      <c r="F41" s="114" t="s">
        <v>570</v>
      </c>
      <c r="G41" s="133">
        <v>1000</v>
      </c>
      <c r="H41" s="114" t="s">
        <v>571</v>
      </c>
      <c r="I41" s="151">
        <v>1000</v>
      </c>
      <c r="J41" s="180"/>
      <c r="K41" s="167"/>
      <c r="L41" s="166"/>
      <c r="M41" s="167"/>
      <c r="N41" s="166"/>
      <c r="O41" s="166"/>
    </row>
    <row r="42" ht="24.9" customHeight="1" spans="1:15">
      <c r="A42" s="50"/>
      <c r="B42" s="135"/>
      <c r="C42" s="145"/>
      <c r="D42" s="118"/>
      <c r="E42" s="146"/>
      <c r="F42" s="122"/>
      <c r="G42" s="138"/>
      <c r="H42" s="122"/>
      <c r="I42" s="121"/>
      <c r="J42" s="181"/>
      <c r="K42" s="167"/>
      <c r="L42" s="166"/>
      <c r="M42" s="167"/>
      <c r="N42" s="166"/>
      <c r="O42" s="166"/>
    </row>
    <row r="43" ht="24.9" customHeight="1" spans="1:15">
      <c r="A43" s="56"/>
      <c r="B43" s="147"/>
      <c r="C43" s="148"/>
      <c r="D43" s="125"/>
      <c r="E43" s="149"/>
      <c r="F43" s="129"/>
      <c r="G43" s="141"/>
      <c r="H43" s="129"/>
      <c r="I43" s="150"/>
      <c r="J43" s="183"/>
      <c r="K43" s="167"/>
      <c r="L43" s="166"/>
      <c r="M43" s="167"/>
      <c r="N43" s="166"/>
      <c r="O43" s="166"/>
    </row>
    <row r="44" ht="24.9" customHeight="1" spans="1:15">
      <c r="A44" s="43" t="s">
        <v>562</v>
      </c>
      <c r="B44" s="110" t="s">
        <v>563</v>
      </c>
      <c r="C44" s="111" t="s">
        <v>564</v>
      </c>
      <c r="D44" s="112"/>
      <c r="E44" s="113" t="s">
        <v>565</v>
      </c>
      <c r="F44" s="120" t="s">
        <v>570</v>
      </c>
      <c r="G44" s="153">
        <v>1000</v>
      </c>
      <c r="H44" s="114" t="s">
        <v>571</v>
      </c>
      <c r="I44" s="144">
        <v>1000</v>
      </c>
      <c r="J44" s="180"/>
      <c r="K44" s="167"/>
      <c r="L44" s="166"/>
      <c r="M44" s="167"/>
      <c r="N44" s="166"/>
      <c r="O44" s="166"/>
    </row>
    <row r="45" ht="24.9" customHeight="1" spans="1:15">
      <c r="A45" s="50"/>
      <c r="B45" s="135"/>
      <c r="C45" s="145"/>
      <c r="D45" s="118"/>
      <c r="E45" s="146"/>
      <c r="F45" s="154"/>
      <c r="G45" s="155"/>
      <c r="H45" s="122"/>
      <c r="I45" s="121"/>
      <c r="J45" s="181"/>
      <c r="K45" s="167"/>
      <c r="L45" s="166"/>
      <c r="M45" s="167"/>
      <c r="N45" s="166"/>
      <c r="O45" s="166"/>
    </row>
    <row r="46" ht="24.9" customHeight="1" spans="1:15">
      <c r="A46" s="56"/>
      <c r="B46" s="147"/>
      <c r="C46" s="148"/>
      <c r="D46" s="125"/>
      <c r="E46" s="149"/>
      <c r="F46" s="156"/>
      <c r="G46" s="157"/>
      <c r="H46" s="129"/>
      <c r="I46" s="150"/>
      <c r="J46" s="183"/>
      <c r="K46" s="167"/>
      <c r="L46" s="166"/>
      <c r="M46" s="167"/>
      <c r="N46" s="166"/>
      <c r="O46" s="166"/>
    </row>
    <row r="47" ht="24.9" customHeight="1" spans="1:15">
      <c r="A47" s="43"/>
      <c r="B47" s="110"/>
      <c r="C47" s="111"/>
      <c r="D47" s="112"/>
      <c r="E47" s="113"/>
      <c r="F47" s="158"/>
      <c r="G47" s="159"/>
      <c r="H47" s="114"/>
      <c r="I47" s="151"/>
      <c r="J47" s="180"/>
      <c r="K47" s="167"/>
      <c r="L47" s="166"/>
      <c r="M47" s="167"/>
      <c r="N47" s="166"/>
      <c r="O47" s="166"/>
    </row>
    <row r="48" ht="24.9" customHeight="1" spans="1:15">
      <c r="A48" s="50"/>
      <c r="B48" s="135"/>
      <c r="C48" s="145"/>
      <c r="D48" s="118"/>
      <c r="E48" s="146"/>
      <c r="F48" s="154"/>
      <c r="G48" s="155"/>
      <c r="H48" s="122"/>
      <c r="I48" s="121"/>
      <c r="J48" s="181"/>
      <c r="K48" s="167"/>
      <c r="L48" s="166"/>
      <c r="M48" s="167"/>
      <c r="N48" s="166"/>
      <c r="O48" s="166"/>
    </row>
    <row r="49" ht="24.9" customHeight="1" spans="1:15">
      <c r="A49" s="56"/>
      <c r="B49" s="147"/>
      <c r="C49" s="148"/>
      <c r="D49" s="125"/>
      <c r="E49" s="149"/>
      <c r="F49" s="156"/>
      <c r="G49" s="157"/>
      <c r="H49" s="129"/>
      <c r="I49" s="150"/>
      <c r="J49" s="183"/>
      <c r="K49" s="167"/>
      <c r="L49" s="166"/>
      <c r="M49" s="167"/>
      <c r="N49" s="166"/>
      <c r="O49" s="166"/>
    </row>
    <row r="50" ht="24.9" customHeight="1" spans="1:15">
      <c r="A50" s="91"/>
      <c r="B50" s="110"/>
      <c r="C50" s="111"/>
      <c r="D50" s="112"/>
      <c r="E50" s="113"/>
      <c r="F50" s="158"/>
      <c r="G50" s="159"/>
      <c r="H50" s="114"/>
      <c r="I50" s="151"/>
      <c r="J50" s="188"/>
      <c r="K50" s="167"/>
      <c r="L50" s="166"/>
      <c r="M50" s="167"/>
      <c r="N50" s="166"/>
      <c r="O50" s="166"/>
    </row>
    <row r="51" ht="24.9" customHeight="1" spans="1:15">
      <c r="A51" s="103"/>
      <c r="B51" s="160"/>
      <c r="C51" s="161"/>
      <c r="D51" s="162"/>
      <c r="E51" s="163"/>
      <c r="F51" s="164" t="s">
        <v>566</v>
      </c>
      <c r="G51" s="165">
        <f>SUM(G29:G50)</f>
        <v>11000</v>
      </c>
      <c r="H51" s="160" t="s">
        <v>566</v>
      </c>
      <c r="I51" s="165">
        <f>SUM(I29:I50)</f>
        <v>9000</v>
      </c>
      <c r="J51" s="189"/>
      <c r="K51" s="167"/>
      <c r="L51" s="166"/>
      <c r="M51" s="167"/>
      <c r="N51" s="166"/>
      <c r="O51" s="166"/>
    </row>
    <row r="52" ht="20.1" customHeight="1" spans="1:15">
      <c r="A52" s="166"/>
      <c r="B52" s="166"/>
      <c r="C52" s="166"/>
      <c r="D52" s="166"/>
      <c r="E52" s="166"/>
      <c r="F52" s="166"/>
      <c r="G52" s="167"/>
      <c r="H52" s="166"/>
      <c r="I52" s="167"/>
      <c r="J52" s="166"/>
      <c r="K52" s="167"/>
      <c r="L52" s="166"/>
      <c r="M52" s="167"/>
      <c r="N52" s="166"/>
      <c r="O52" s="166"/>
    </row>
    <row r="53" spans="1:15">
      <c r="A53" s="166"/>
      <c r="B53" s="166"/>
      <c r="C53" s="166"/>
      <c r="D53" s="166"/>
      <c r="E53" s="166"/>
      <c r="F53" s="166"/>
      <c r="G53" s="167"/>
      <c r="H53" s="166"/>
      <c r="I53" s="167"/>
      <c r="J53" s="166"/>
      <c r="K53" s="167"/>
      <c r="L53" s="166"/>
      <c r="M53" s="167"/>
      <c r="N53" s="166"/>
      <c r="O53" s="166"/>
    </row>
    <row r="54" spans="1:15">
      <c r="A54" s="166"/>
      <c r="B54" s="166"/>
      <c r="C54" s="166"/>
      <c r="D54" s="166"/>
      <c r="E54" s="166"/>
      <c r="F54" s="166"/>
      <c r="G54" s="167"/>
      <c r="H54" s="166"/>
      <c r="I54" s="167"/>
      <c r="J54" s="166"/>
      <c r="K54" s="167"/>
      <c r="L54" s="166"/>
      <c r="M54" s="167"/>
      <c r="N54" s="166"/>
      <c r="O54" s="166"/>
    </row>
    <row r="55" spans="1:15">
      <c r="A55" s="166"/>
      <c r="B55" s="166"/>
      <c r="C55" s="166"/>
      <c r="D55" s="166"/>
      <c r="E55" s="166"/>
      <c r="F55" s="166"/>
      <c r="G55" s="167"/>
      <c r="H55" s="166"/>
      <c r="I55" s="167"/>
      <c r="J55" s="166"/>
      <c r="K55" s="167"/>
      <c r="L55" s="166"/>
      <c r="M55" s="167"/>
      <c r="N55" s="166"/>
      <c r="O55" s="166"/>
    </row>
    <row r="56" spans="1:15">
      <c r="A56" s="166"/>
      <c r="B56" s="166"/>
      <c r="C56" s="166"/>
      <c r="D56" s="166"/>
      <c r="E56" s="166"/>
      <c r="F56" s="166"/>
      <c r="G56" s="167"/>
      <c r="H56" s="166"/>
      <c r="I56" s="167"/>
      <c r="J56" s="166"/>
      <c r="K56" s="167"/>
      <c r="L56" s="166"/>
      <c r="M56" s="167"/>
      <c r="N56" s="166"/>
      <c r="O56" s="166"/>
    </row>
    <row r="57" spans="1:15">
      <c r="A57" s="166"/>
      <c r="B57" s="166"/>
      <c r="C57" s="166"/>
      <c r="D57" s="166"/>
      <c r="E57" s="166"/>
      <c r="F57" s="166"/>
      <c r="G57" s="167"/>
      <c r="H57" s="166"/>
      <c r="I57" s="167"/>
      <c r="J57" s="166"/>
      <c r="K57" s="167"/>
      <c r="L57" s="166"/>
      <c r="M57" s="167"/>
      <c r="N57" s="166"/>
      <c r="O57" s="166"/>
    </row>
    <row r="58" spans="1:15">
      <c r="A58" s="166"/>
      <c r="B58" s="166"/>
      <c r="C58" s="166"/>
      <c r="D58" s="166"/>
      <c r="E58" s="166"/>
      <c r="F58" s="166"/>
      <c r="G58" s="167"/>
      <c r="H58" s="166"/>
      <c r="I58" s="167"/>
      <c r="J58" s="166"/>
      <c r="K58" s="167"/>
      <c r="L58" s="166"/>
      <c r="M58" s="167"/>
      <c r="N58" s="166"/>
      <c r="O58" s="166"/>
    </row>
    <row r="59" spans="1:15">
      <c r="A59" s="166"/>
      <c r="B59" s="166"/>
      <c r="C59" s="166"/>
      <c r="D59" s="166"/>
      <c r="E59" s="166"/>
      <c r="F59" s="166"/>
      <c r="G59" s="167"/>
      <c r="H59" s="166"/>
      <c r="I59" s="167"/>
      <c r="J59" s="166"/>
      <c r="K59" s="167"/>
      <c r="L59" s="166"/>
      <c r="M59" s="167"/>
      <c r="N59" s="166"/>
      <c r="O59" s="166"/>
    </row>
    <row r="60" spans="1:15">
      <c r="A60" s="166"/>
      <c r="B60" s="166"/>
      <c r="C60" s="166"/>
      <c r="D60" s="166"/>
      <c r="E60" s="166"/>
      <c r="F60" s="166"/>
      <c r="G60" s="167"/>
      <c r="H60" s="166"/>
      <c r="I60" s="167"/>
      <c r="J60" s="166"/>
      <c r="K60" s="167"/>
      <c r="L60" s="166"/>
      <c r="M60" s="167"/>
      <c r="N60" s="166"/>
      <c r="O60" s="166"/>
    </row>
    <row r="61" spans="1:4">
      <c r="A61" s="166"/>
      <c r="B61" s="166"/>
      <c r="C61" s="166"/>
      <c r="D61" s="166"/>
    </row>
  </sheetData>
  <mergeCells count="28">
    <mergeCell ref="A1:J1"/>
    <mergeCell ref="F2:G2"/>
    <mergeCell ref="H2:I2"/>
    <mergeCell ref="H14:I14"/>
    <mergeCell ref="A26:J26"/>
    <mergeCell ref="F27:G27"/>
    <mergeCell ref="H27:I27"/>
    <mergeCell ref="A2:A3"/>
    <mergeCell ref="A4:A6"/>
    <mergeCell ref="A7:A8"/>
    <mergeCell ref="A9:A11"/>
    <mergeCell ref="A12:A13"/>
    <mergeCell ref="A14:A16"/>
    <mergeCell ref="A17:A19"/>
    <mergeCell ref="A20:A22"/>
    <mergeCell ref="A27:A28"/>
    <mergeCell ref="A29:A31"/>
    <mergeCell ref="A32:A34"/>
    <mergeCell ref="A35:A37"/>
    <mergeCell ref="A38:A40"/>
    <mergeCell ref="A41:A43"/>
    <mergeCell ref="A44:A46"/>
    <mergeCell ref="A47:A49"/>
    <mergeCell ref="B2:B3"/>
    <mergeCell ref="B27:B28"/>
    <mergeCell ref="C2:C3"/>
    <mergeCell ref="C27:C28"/>
    <mergeCell ref="J27:J28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zoomScale="120" zoomScaleNormal="120" topLeftCell="A77" workbookViewId="0">
      <selection activeCell="F16" sqref="F16"/>
    </sheetView>
  </sheetViews>
  <sheetFormatPr defaultColWidth="9" defaultRowHeight="13.5" outlineLevelCol="7"/>
  <cols>
    <col min="1" max="1" width="7.66666666666667" customWidth="1"/>
    <col min="2" max="2" width="20" style="1" customWidth="1"/>
    <col min="3" max="3" width="20.6666666666667" customWidth="1"/>
    <col min="4" max="4" width="15.6666666666667" customWidth="1"/>
    <col min="5" max="5" width="17.3333333333333" customWidth="1"/>
    <col min="6" max="6" width="20" customWidth="1"/>
  </cols>
  <sheetData>
    <row r="1" spans="1:6">
      <c r="A1" s="2" t="s">
        <v>586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spans="1:6">
      <c r="A3" s="2"/>
      <c r="B3" s="2"/>
      <c r="C3" s="2"/>
      <c r="D3" s="2"/>
      <c r="E3" s="2"/>
      <c r="F3" s="2"/>
    </row>
    <row r="4" ht="18" customHeight="1" spans="1:6">
      <c r="A4" s="3" t="s">
        <v>587</v>
      </c>
      <c r="B4" s="4" t="s">
        <v>5</v>
      </c>
      <c r="C4" s="5" t="s">
        <v>588</v>
      </c>
      <c r="D4" s="5" t="s">
        <v>589</v>
      </c>
      <c r="E4" s="5" t="s">
        <v>590</v>
      </c>
      <c r="F4" s="5" t="s">
        <v>591</v>
      </c>
    </row>
    <row r="5" ht="18" customHeight="1" spans="1:8">
      <c r="A5" s="3"/>
      <c r="B5" s="6" t="s">
        <v>15</v>
      </c>
      <c r="C5" s="7"/>
      <c r="D5" s="8">
        <f>113</f>
        <v>113</v>
      </c>
      <c r="E5" s="8"/>
      <c r="F5" s="7"/>
      <c r="G5" s="9"/>
      <c r="H5" s="9"/>
    </row>
    <row r="6" ht="18" customHeight="1" spans="1:8">
      <c r="A6" s="3"/>
      <c r="B6" s="10" t="s">
        <v>18</v>
      </c>
      <c r="C6" s="7"/>
      <c r="D6" s="8">
        <f>138+88+118+168+128+98+150+98+100+90+88+68+58+100+50+48+68+69+69+66+78+128</f>
        <v>2066</v>
      </c>
      <c r="E6" s="8"/>
      <c r="F6" s="7"/>
      <c r="G6" s="9"/>
      <c r="H6" s="9"/>
    </row>
    <row r="7" ht="18" customHeight="1" spans="1:8">
      <c r="A7" s="3"/>
      <c r="B7" s="10" t="s">
        <v>22</v>
      </c>
      <c r="C7" s="11">
        <f>1008</f>
        <v>1008</v>
      </c>
      <c r="D7" s="8">
        <f>113+126+108+138+40+48+40+55+55+55+40+40+58+58+38+35+66+66+35+88+88+88</f>
        <v>1478</v>
      </c>
      <c r="E7" s="8">
        <f>218</f>
        <v>218</v>
      </c>
      <c r="F7" s="7"/>
      <c r="G7" s="12"/>
      <c r="H7" s="9"/>
    </row>
    <row r="8" ht="18" customHeight="1" spans="1:8">
      <c r="A8" s="3"/>
      <c r="B8" s="13" t="s">
        <v>99</v>
      </c>
      <c r="C8" s="11">
        <f>1368.88</f>
        <v>1368.88</v>
      </c>
      <c r="D8" s="8">
        <f>268+238</f>
        <v>506</v>
      </c>
      <c r="E8" s="8">
        <f>113+113</f>
        <v>226</v>
      </c>
      <c r="F8" s="8"/>
      <c r="G8" s="12"/>
      <c r="H8" s="9"/>
    </row>
    <row r="9" ht="18" customHeight="1" spans="1:8">
      <c r="A9" s="3"/>
      <c r="B9" s="10" t="s">
        <v>449</v>
      </c>
      <c r="C9" s="11"/>
      <c r="D9" s="8"/>
      <c r="E9" s="8">
        <f>138+168+188</f>
        <v>494</v>
      </c>
      <c r="F9" s="8"/>
      <c r="G9" s="12"/>
      <c r="H9" s="9"/>
    </row>
    <row r="10" ht="18" customHeight="1" spans="1:8">
      <c r="A10" s="3"/>
      <c r="B10" s="14" t="s">
        <v>26</v>
      </c>
      <c r="C10" s="11">
        <f>500</f>
        <v>500</v>
      </c>
      <c r="D10" s="8">
        <f>68+132</f>
        <v>200</v>
      </c>
      <c r="E10" s="8">
        <f>128+200+208+118+168</f>
        <v>822</v>
      </c>
      <c r="F10" s="8"/>
      <c r="G10" s="12"/>
      <c r="H10" s="9"/>
    </row>
    <row r="11" ht="18" customHeight="1" spans="1:8">
      <c r="A11" s="3"/>
      <c r="B11" s="10" t="s">
        <v>66</v>
      </c>
      <c r="C11" s="11"/>
      <c r="D11" s="8">
        <f>100</f>
        <v>100</v>
      </c>
      <c r="E11" s="8">
        <f>68+108+108+158+158+580+666</f>
        <v>1846</v>
      </c>
      <c r="F11" s="8"/>
      <c r="G11" s="12"/>
      <c r="H11" s="9"/>
    </row>
    <row r="12" ht="18" customHeight="1" spans="1:8">
      <c r="A12" s="3"/>
      <c r="B12" s="10" t="s">
        <v>30</v>
      </c>
      <c r="C12" s="11"/>
      <c r="D12" s="8">
        <f>168+168+208+198+198+168+200+200+200</f>
        <v>1708</v>
      </c>
      <c r="E12" s="8">
        <f>40+40+188+900+138+668+777</f>
        <v>2751</v>
      </c>
      <c r="F12" s="8"/>
      <c r="G12" s="12"/>
      <c r="H12" s="9"/>
    </row>
    <row r="13" ht="18" customHeight="1" spans="1:8">
      <c r="A13" s="3"/>
      <c r="B13" s="10" t="s">
        <v>592</v>
      </c>
      <c r="C13" s="11"/>
      <c r="D13" s="8"/>
      <c r="E13" s="8">
        <f>168</f>
        <v>168</v>
      </c>
      <c r="F13" s="8"/>
      <c r="G13" s="12"/>
      <c r="H13" s="9"/>
    </row>
    <row r="14" ht="18" customHeight="1" spans="1:8">
      <c r="A14" s="3"/>
      <c r="B14" s="15" t="s">
        <v>490</v>
      </c>
      <c r="C14" s="11"/>
      <c r="D14" s="8"/>
      <c r="E14" s="8">
        <f>126+132+666+66</f>
        <v>990</v>
      </c>
      <c r="F14" s="8"/>
      <c r="G14" s="12"/>
      <c r="H14" s="9"/>
    </row>
    <row r="15" ht="18" customHeight="1" spans="1:8">
      <c r="A15" s="3"/>
      <c r="B15" s="13" t="s">
        <v>38</v>
      </c>
      <c r="C15" s="11">
        <f>1000+1000</f>
        <v>2000</v>
      </c>
      <c r="D15" s="8"/>
      <c r="E15" s="8"/>
      <c r="F15" s="8"/>
      <c r="G15" s="12"/>
      <c r="H15" s="9"/>
    </row>
    <row r="16" ht="18" customHeight="1" spans="1:8">
      <c r="A16" s="3"/>
      <c r="B16" s="10" t="s">
        <v>44</v>
      </c>
      <c r="C16" s="11"/>
      <c r="D16" s="8">
        <f>228+168+198+198+300+218+118+338+555+198+288+188+208+488</f>
        <v>3691</v>
      </c>
      <c r="E16" s="8"/>
      <c r="F16" s="8"/>
      <c r="G16" s="12"/>
      <c r="H16" s="9"/>
    </row>
    <row r="17" ht="18" customHeight="1" spans="1:8">
      <c r="A17" s="3"/>
      <c r="B17" s="13" t="s">
        <v>593</v>
      </c>
      <c r="C17" s="11"/>
      <c r="D17" s="8"/>
      <c r="E17" s="8">
        <f>228+168+198</f>
        <v>594</v>
      </c>
      <c r="F17" s="8"/>
      <c r="G17" s="12"/>
      <c r="H17" s="9"/>
    </row>
    <row r="18" ht="18" customHeight="1" spans="1:8">
      <c r="A18" s="3"/>
      <c r="B18" s="10" t="s">
        <v>54</v>
      </c>
      <c r="C18" s="11"/>
      <c r="D18" s="8">
        <f>138</f>
        <v>138</v>
      </c>
      <c r="E18" s="8">
        <f>88</f>
        <v>88</v>
      </c>
      <c r="F18" s="8"/>
      <c r="G18" s="12"/>
      <c r="H18" s="9"/>
    </row>
    <row r="19" ht="18" customHeight="1" spans="1:8">
      <c r="A19" s="16"/>
      <c r="B19" s="15" t="s">
        <v>594</v>
      </c>
      <c r="C19" s="17"/>
      <c r="D19" s="17"/>
      <c r="E19" s="17">
        <f>138+68+168+688</f>
        <v>1062</v>
      </c>
      <c r="F19" s="17"/>
      <c r="G19" s="18"/>
      <c r="H19" s="9"/>
    </row>
    <row r="20" ht="18" customHeight="1" spans="1:8">
      <c r="A20" s="16"/>
      <c r="B20" s="6" t="s">
        <v>595</v>
      </c>
      <c r="C20" s="17"/>
      <c r="D20" s="17"/>
      <c r="E20" s="17">
        <f>108</f>
        <v>108</v>
      </c>
      <c r="F20" s="17"/>
      <c r="G20" s="18"/>
      <c r="H20" s="9"/>
    </row>
    <row r="21" ht="18" customHeight="1" spans="1:8">
      <c r="A21" s="16"/>
      <c r="B21" s="6" t="s">
        <v>135</v>
      </c>
      <c r="C21" s="17"/>
      <c r="D21" s="17">
        <f>99</f>
        <v>99</v>
      </c>
      <c r="E21" s="17">
        <f>100</f>
        <v>100</v>
      </c>
      <c r="F21" s="17"/>
      <c r="G21" s="9"/>
      <c r="H21" s="9"/>
    </row>
    <row r="22" ht="18" customHeight="1" spans="1:8">
      <c r="A22" s="16"/>
      <c r="B22" s="6" t="s">
        <v>596</v>
      </c>
      <c r="C22" s="17"/>
      <c r="D22" s="17"/>
      <c r="E22" s="17">
        <f>208+138</f>
        <v>346</v>
      </c>
      <c r="F22" s="17"/>
      <c r="G22" s="9"/>
      <c r="H22" s="9"/>
    </row>
    <row r="23" ht="18" customHeight="1" spans="1:8">
      <c r="A23" s="16"/>
      <c r="B23" s="10" t="s">
        <v>77</v>
      </c>
      <c r="C23" s="17"/>
      <c r="D23" s="17">
        <f>388</f>
        <v>388</v>
      </c>
      <c r="E23" s="17"/>
      <c r="F23" s="17"/>
      <c r="G23" s="9"/>
      <c r="H23" s="9"/>
    </row>
    <row r="24" ht="18" customHeight="1" spans="1:8">
      <c r="A24" s="16"/>
      <c r="B24" s="10" t="s">
        <v>150</v>
      </c>
      <c r="C24" s="17"/>
      <c r="D24" s="17">
        <f>89</f>
        <v>89</v>
      </c>
      <c r="E24" s="17">
        <f>388+88+69</f>
        <v>545</v>
      </c>
      <c r="F24" s="17"/>
      <c r="G24" s="9"/>
      <c r="H24" s="9"/>
    </row>
    <row r="25" ht="18" customHeight="1" spans="1:8">
      <c r="A25" s="16"/>
      <c r="B25" s="10" t="s">
        <v>107</v>
      </c>
      <c r="C25" s="17"/>
      <c r="D25" s="17">
        <f>178+108+108</f>
        <v>394</v>
      </c>
      <c r="E25" s="17">
        <f>198+128+128+128+99+88+88+88</f>
        <v>945</v>
      </c>
      <c r="F25" s="17"/>
      <c r="G25" s="9"/>
      <c r="H25" s="9"/>
    </row>
    <row r="26" ht="18" customHeight="1" spans="1:8">
      <c r="A26" s="16"/>
      <c r="B26" s="10" t="s">
        <v>87</v>
      </c>
      <c r="C26" s="17">
        <f>200</f>
        <v>200</v>
      </c>
      <c r="D26" s="17"/>
      <c r="E26" s="17"/>
      <c r="F26" s="17"/>
      <c r="G26" s="9"/>
      <c r="H26" s="9"/>
    </row>
    <row r="27" ht="18" customHeight="1" spans="1:8">
      <c r="A27" s="16"/>
      <c r="B27" s="10" t="s">
        <v>91</v>
      </c>
      <c r="C27" s="17">
        <f>388</f>
        <v>388</v>
      </c>
      <c r="D27" s="17">
        <f>88+88+128+68+128+108</f>
        <v>608</v>
      </c>
      <c r="E27" s="17">
        <f>35+300</f>
        <v>335</v>
      </c>
      <c r="F27" s="17"/>
      <c r="G27" s="9"/>
      <c r="H27" s="9"/>
    </row>
    <row r="28" ht="18" customHeight="1" spans="1:8">
      <c r="A28" s="16"/>
      <c r="B28" s="10" t="s">
        <v>94</v>
      </c>
      <c r="C28" s="17">
        <f>200</f>
        <v>200</v>
      </c>
      <c r="D28" s="17"/>
      <c r="E28" s="17"/>
      <c r="F28" s="17"/>
      <c r="G28" s="9"/>
      <c r="H28" s="9"/>
    </row>
    <row r="29" ht="18" customHeight="1" spans="1:8">
      <c r="A29" s="16"/>
      <c r="B29" s="10" t="s">
        <v>96</v>
      </c>
      <c r="C29" s="17">
        <f>88</f>
        <v>88</v>
      </c>
      <c r="D29" s="17"/>
      <c r="E29" s="17"/>
      <c r="F29" s="17"/>
      <c r="G29" s="9"/>
      <c r="H29" s="9"/>
    </row>
    <row r="30" ht="18" customHeight="1" spans="1:8">
      <c r="A30" s="16"/>
      <c r="B30" s="10" t="s">
        <v>98</v>
      </c>
      <c r="C30" s="17">
        <f>1000</f>
        <v>1000</v>
      </c>
      <c r="D30" s="17"/>
      <c r="E30" s="17"/>
      <c r="F30" s="17"/>
      <c r="G30" s="9"/>
      <c r="H30" s="9"/>
    </row>
    <row r="31" ht="18" customHeight="1" spans="1:8">
      <c r="A31" s="16"/>
      <c r="B31" s="10" t="s">
        <v>100</v>
      </c>
      <c r="C31" s="17">
        <f>200</f>
        <v>200</v>
      </c>
      <c r="D31" s="17"/>
      <c r="E31" s="17">
        <f>68</f>
        <v>68</v>
      </c>
      <c r="F31" s="17"/>
      <c r="G31" s="9"/>
      <c r="H31" s="9"/>
    </row>
    <row r="32" ht="18" customHeight="1" spans="1:6">
      <c r="A32" s="16"/>
      <c r="B32" s="10" t="s">
        <v>102</v>
      </c>
      <c r="C32" s="17">
        <f>2000</f>
        <v>2000</v>
      </c>
      <c r="D32" s="17"/>
      <c r="E32" s="17"/>
      <c r="F32" s="17"/>
    </row>
    <row r="33" ht="18" customHeight="1" spans="1:6">
      <c r="A33" s="16"/>
      <c r="B33" s="10" t="s">
        <v>597</v>
      </c>
      <c r="C33" s="17"/>
      <c r="D33" s="17"/>
      <c r="E33" s="17">
        <f>198</f>
        <v>198</v>
      </c>
      <c r="F33" s="17"/>
    </row>
    <row r="34" ht="18" customHeight="1" spans="1:6">
      <c r="A34" s="16"/>
      <c r="B34" s="10" t="s">
        <v>156</v>
      </c>
      <c r="C34" s="17"/>
      <c r="D34" s="17">
        <f>95</f>
        <v>95</v>
      </c>
      <c r="E34" s="17">
        <f>88+268+40+66+66+168</f>
        <v>696</v>
      </c>
      <c r="F34" s="17"/>
    </row>
    <row r="35" ht="18" customHeight="1" spans="1:6">
      <c r="A35" s="16"/>
      <c r="B35" s="10" t="s">
        <v>598</v>
      </c>
      <c r="C35" s="17"/>
      <c r="D35" s="17"/>
      <c r="E35" s="17">
        <f>178</f>
        <v>178</v>
      </c>
      <c r="F35" s="17"/>
    </row>
    <row r="36" ht="18" customHeight="1" spans="1:6">
      <c r="A36" s="16"/>
      <c r="B36" s="10" t="s">
        <v>110</v>
      </c>
      <c r="C36" s="17">
        <f>300</f>
        <v>300</v>
      </c>
      <c r="D36" s="17"/>
      <c r="E36" s="17"/>
      <c r="F36" s="17"/>
    </row>
    <row r="37" ht="18" customHeight="1" spans="1:6">
      <c r="A37" s="16"/>
      <c r="B37" s="10" t="s">
        <v>112</v>
      </c>
      <c r="C37" s="17"/>
      <c r="D37" s="17">
        <f>128</f>
        <v>128</v>
      </c>
      <c r="E37" s="17"/>
      <c r="F37" s="17"/>
    </row>
    <row r="38" ht="18" customHeight="1" spans="1:6">
      <c r="A38" s="16"/>
      <c r="B38" s="10" t="s">
        <v>116</v>
      </c>
      <c r="C38" s="17"/>
      <c r="D38" s="17">
        <f>128</f>
        <v>128</v>
      </c>
      <c r="E38" s="17"/>
      <c r="F38" s="17"/>
    </row>
    <row r="39" ht="18" customHeight="1" spans="1:6">
      <c r="A39" s="16"/>
      <c r="B39" s="10" t="s">
        <v>120</v>
      </c>
      <c r="C39" s="17"/>
      <c r="D39" s="17">
        <f>158+148+168</f>
        <v>474</v>
      </c>
      <c r="E39" s="17"/>
      <c r="F39" s="17"/>
    </row>
    <row r="40" ht="18" customHeight="1" spans="1:6">
      <c r="A40" s="16"/>
      <c r="B40" s="10" t="s">
        <v>599</v>
      </c>
      <c r="C40" s="17"/>
      <c r="D40" s="17"/>
      <c r="E40" s="17">
        <f>158+288</f>
        <v>446</v>
      </c>
      <c r="F40" s="17"/>
    </row>
    <row r="41" ht="18" customHeight="1" spans="1:6">
      <c r="A41" s="16"/>
      <c r="B41" s="10" t="s">
        <v>600</v>
      </c>
      <c r="C41" s="17"/>
      <c r="D41" s="17"/>
      <c r="E41" s="17">
        <f>118+98</f>
        <v>216</v>
      </c>
      <c r="F41" s="17"/>
    </row>
    <row r="42" ht="18" customHeight="1" spans="1:6">
      <c r="A42" s="16"/>
      <c r="B42" s="10" t="s">
        <v>126</v>
      </c>
      <c r="C42" s="17">
        <f>1000</f>
        <v>1000</v>
      </c>
      <c r="D42" s="17"/>
      <c r="E42" s="17"/>
      <c r="F42" s="17"/>
    </row>
    <row r="43" ht="18" customHeight="1" spans="1:6">
      <c r="A43" s="16"/>
      <c r="B43" s="10" t="s">
        <v>127</v>
      </c>
      <c r="C43" s="17">
        <v>1000</v>
      </c>
      <c r="D43" s="17">
        <f>118</f>
        <v>118</v>
      </c>
      <c r="E43" s="17">
        <f>99+238+100+688</f>
        <v>1125</v>
      </c>
      <c r="F43" s="17"/>
    </row>
    <row r="44" ht="18" customHeight="1" spans="1:6">
      <c r="A44" s="16"/>
      <c r="B44" s="10" t="s">
        <v>601</v>
      </c>
      <c r="C44" s="17"/>
      <c r="D44" s="17"/>
      <c r="E44" s="17">
        <f>168</f>
        <v>168</v>
      </c>
      <c r="F44" s="17"/>
    </row>
    <row r="45" ht="18" customHeight="1" spans="1:6">
      <c r="A45" s="16"/>
      <c r="B45" s="10" t="s">
        <v>602</v>
      </c>
      <c r="C45" s="17"/>
      <c r="D45" s="17"/>
      <c r="E45" s="17">
        <f>128+438+911+699</f>
        <v>2176</v>
      </c>
      <c r="F45" s="17"/>
    </row>
    <row r="46" ht="18" customHeight="1" spans="1:6">
      <c r="A46" s="16"/>
      <c r="B46" s="10" t="s">
        <v>511</v>
      </c>
      <c r="C46" s="17"/>
      <c r="D46" s="17"/>
      <c r="E46" s="17">
        <f>148+68+38</f>
        <v>254</v>
      </c>
      <c r="F46" s="17"/>
    </row>
    <row r="47" ht="18" customHeight="1" spans="1:6">
      <c r="A47" s="16"/>
      <c r="B47" s="10" t="s">
        <v>141</v>
      </c>
      <c r="C47" s="17"/>
      <c r="D47" s="17">
        <f>268+238+220+220+158+158+99</f>
        <v>1361</v>
      </c>
      <c r="E47" s="17"/>
      <c r="F47" s="17"/>
    </row>
    <row r="48" ht="18" customHeight="1" spans="1:6">
      <c r="A48" s="16"/>
      <c r="B48" s="10" t="s">
        <v>603</v>
      </c>
      <c r="C48" s="17"/>
      <c r="D48" s="17"/>
      <c r="E48" s="17">
        <f>220+220+95+100</f>
        <v>635</v>
      </c>
      <c r="F48" s="17"/>
    </row>
    <row r="49" ht="18" customHeight="1" spans="1:6">
      <c r="A49" s="16"/>
      <c r="B49" s="10" t="s">
        <v>153</v>
      </c>
      <c r="C49" s="17"/>
      <c r="D49" s="17">
        <f>108</f>
        <v>108</v>
      </c>
      <c r="E49" s="17">
        <f>150</f>
        <v>150</v>
      </c>
      <c r="F49" s="17"/>
    </row>
    <row r="50" ht="18" customHeight="1" spans="1:6">
      <c r="A50" s="16"/>
      <c r="B50" s="10" t="s">
        <v>604</v>
      </c>
      <c r="C50" s="17"/>
      <c r="D50" s="17"/>
      <c r="E50" s="17">
        <f>98</f>
        <v>98</v>
      </c>
      <c r="F50" s="17"/>
    </row>
    <row r="51" ht="18" customHeight="1" spans="1:6">
      <c r="A51" s="16"/>
      <c r="B51" s="10" t="s">
        <v>605</v>
      </c>
      <c r="C51" s="17"/>
      <c r="D51" s="17"/>
      <c r="E51" s="17">
        <f>89+69+200+200+200</f>
        <v>758</v>
      </c>
      <c r="F51" s="17"/>
    </row>
    <row r="52" ht="18" customHeight="1" spans="1:6">
      <c r="A52" s="16"/>
      <c r="B52" s="10" t="s">
        <v>606</v>
      </c>
      <c r="C52" s="17"/>
      <c r="D52" s="17"/>
      <c r="E52" s="17">
        <f>108</f>
        <v>108</v>
      </c>
      <c r="F52" s="17"/>
    </row>
    <row r="53" ht="18" customHeight="1" spans="1:6">
      <c r="A53" s="16"/>
      <c r="B53" s="10" t="s">
        <v>159</v>
      </c>
      <c r="C53" s="17">
        <f>500</f>
        <v>500</v>
      </c>
      <c r="D53" s="17"/>
      <c r="E53" s="17"/>
      <c r="F53" s="17"/>
    </row>
    <row r="54" ht="18" customHeight="1" spans="1:6">
      <c r="A54" s="16"/>
      <c r="B54" s="10" t="s">
        <v>502</v>
      </c>
      <c r="C54" s="17"/>
      <c r="D54" s="17"/>
      <c r="E54" s="17">
        <f>118+118</f>
        <v>236</v>
      </c>
      <c r="F54" s="17"/>
    </row>
    <row r="55" ht="18" customHeight="1" spans="1:6">
      <c r="A55" s="16"/>
      <c r="B55" s="10" t="s">
        <v>607</v>
      </c>
      <c r="C55" s="17"/>
      <c r="D55" s="17"/>
      <c r="E55" s="17">
        <f>268</f>
        <v>268</v>
      </c>
      <c r="F55" s="17"/>
    </row>
    <row r="56" ht="18" customHeight="1" spans="1:6">
      <c r="A56" s="16"/>
      <c r="B56" s="10" t="s">
        <v>608</v>
      </c>
      <c r="C56" s="17"/>
      <c r="D56" s="17"/>
      <c r="E56" s="17">
        <f>90+118</f>
        <v>208</v>
      </c>
      <c r="F56" s="17"/>
    </row>
    <row r="57" ht="18" customHeight="1" spans="1:6">
      <c r="A57" s="16"/>
      <c r="B57" s="10" t="s">
        <v>518</v>
      </c>
      <c r="C57" s="17"/>
      <c r="D57" s="17"/>
      <c r="E57" s="17">
        <f>198</f>
        <v>198</v>
      </c>
      <c r="F57" s="17"/>
    </row>
    <row r="58" ht="18" customHeight="1" spans="1:6">
      <c r="A58" s="16"/>
      <c r="B58" s="10" t="s">
        <v>471</v>
      </c>
      <c r="C58" s="17"/>
      <c r="D58" s="17"/>
      <c r="E58" s="17">
        <f>238+66</f>
        <v>304</v>
      </c>
      <c r="F58" s="17"/>
    </row>
    <row r="59" ht="18" customHeight="1" spans="1:6">
      <c r="A59" s="16"/>
      <c r="B59" s="10" t="s">
        <v>609</v>
      </c>
      <c r="C59" s="17"/>
      <c r="D59" s="17"/>
      <c r="E59" s="17">
        <f>168+168+488</f>
        <v>824</v>
      </c>
      <c r="F59" s="17"/>
    </row>
    <row r="60" ht="18" customHeight="1" spans="1:6">
      <c r="A60" s="16"/>
      <c r="B60" s="10" t="s">
        <v>183</v>
      </c>
      <c r="C60" s="17"/>
      <c r="D60" s="17">
        <f>60</f>
        <v>60</v>
      </c>
      <c r="E60" s="17">
        <f>108+55+55+55+88</f>
        <v>361</v>
      </c>
      <c r="F60" s="17"/>
    </row>
    <row r="61" ht="18" customHeight="1" spans="1:6">
      <c r="A61" s="16"/>
      <c r="B61" s="10" t="s">
        <v>180</v>
      </c>
      <c r="C61" s="17">
        <f>200</f>
        <v>200</v>
      </c>
      <c r="D61" s="17"/>
      <c r="E61" s="17"/>
      <c r="F61" s="17"/>
    </row>
    <row r="62" ht="18" customHeight="1" spans="1:6">
      <c r="A62" s="16"/>
      <c r="B62" s="10" t="s">
        <v>610</v>
      </c>
      <c r="C62" s="17"/>
      <c r="D62" s="17"/>
      <c r="E62" s="17">
        <f>48</f>
        <v>48</v>
      </c>
      <c r="F62" s="17"/>
    </row>
    <row r="63" ht="18" customHeight="1" spans="1:6">
      <c r="A63" s="16"/>
      <c r="B63" s="10" t="s">
        <v>474</v>
      </c>
      <c r="C63" s="17"/>
      <c r="D63" s="17"/>
      <c r="E63" s="17">
        <f>60+60+60</f>
        <v>180</v>
      </c>
      <c r="F63" s="17"/>
    </row>
    <row r="64" ht="18" customHeight="1" spans="1:6">
      <c r="A64" s="16"/>
      <c r="B64" s="10" t="s">
        <v>611</v>
      </c>
      <c r="C64" s="17"/>
      <c r="D64" s="17"/>
      <c r="E64" s="17">
        <f>40</f>
        <v>40</v>
      </c>
      <c r="F64" s="17"/>
    </row>
    <row r="65" ht="18" customHeight="1" spans="1:6">
      <c r="A65" s="16"/>
      <c r="B65" s="10" t="s">
        <v>520</v>
      </c>
      <c r="C65" s="17"/>
      <c r="D65" s="17"/>
      <c r="E65" s="17">
        <f>58+35</f>
        <v>93</v>
      </c>
      <c r="F65" s="17"/>
    </row>
    <row r="66" ht="18" customHeight="1" spans="1:6">
      <c r="A66" s="16"/>
      <c r="B66" s="10" t="s">
        <v>612</v>
      </c>
      <c r="C66" s="17"/>
      <c r="D66" s="17"/>
      <c r="E66" s="17">
        <f>58+58</f>
        <v>116</v>
      </c>
      <c r="F66" s="17"/>
    </row>
    <row r="67" ht="18" customHeight="1" spans="1:6">
      <c r="A67" s="16"/>
      <c r="B67" s="10" t="s">
        <v>203</v>
      </c>
      <c r="C67" s="17"/>
      <c r="D67" s="17">
        <f>438+188+168</f>
        <v>794</v>
      </c>
      <c r="E67" s="17">
        <f>48+48</f>
        <v>96</v>
      </c>
      <c r="F67" s="17"/>
    </row>
    <row r="68" ht="18" customHeight="1" spans="1:6">
      <c r="A68" s="16"/>
      <c r="B68" s="10" t="s">
        <v>613</v>
      </c>
      <c r="C68" s="17"/>
      <c r="D68" s="17"/>
      <c r="E68" s="17">
        <f>50</f>
        <v>50</v>
      </c>
      <c r="F68" s="17"/>
    </row>
    <row r="69" ht="18" customHeight="1" spans="1:6">
      <c r="A69" s="16"/>
      <c r="B69" s="10" t="s">
        <v>614</v>
      </c>
      <c r="C69" s="17"/>
      <c r="D69" s="17"/>
      <c r="E69" s="17">
        <f>48</f>
        <v>48</v>
      </c>
      <c r="F69" s="17"/>
    </row>
    <row r="70" ht="18" customHeight="1" spans="1:6">
      <c r="A70" s="16"/>
      <c r="B70" s="10" t="s">
        <v>220</v>
      </c>
      <c r="C70" s="17"/>
      <c r="D70" s="17">
        <f>900+911+688+699+688+666+668+580+777+666</f>
        <v>7243</v>
      </c>
      <c r="E70" s="17"/>
      <c r="F70" s="17"/>
    </row>
    <row r="71" ht="18" customHeight="1" spans="1:6">
      <c r="A71" s="16"/>
      <c r="B71" s="10" t="s">
        <v>224</v>
      </c>
      <c r="C71" s="17"/>
      <c r="D71" s="17">
        <f>168+168+168+118+168+188</f>
        <v>978</v>
      </c>
      <c r="E71" s="17"/>
      <c r="F71" s="17"/>
    </row>
    <row r="72" ht="18" customHeight="1" spans="1:6">
      <c r="A72" s="16"/>
      <c r="B72" s="10" t="s">
        <v>615</v>
      </c>
      <c r="C72" s="17"/>
      <c r="D72" s="17"/>
      <c r="E72" s="17">
        <f>168+168</f>
        <v>336</v>
      </c>
      <c r="F72" s="17"/>
    </row>
    <row r="73" ht="18" customHeight="1" spans="1:6">
      <c r="A73" s="16"/>
      <c r="B73" s="10" t="s">
        <v>229</v>
      </c>
      <c r="C73" s="17"/>
      <c r="D73" s="17">
        <f>138+200+208+118</f>
        <v>664</v>
      </c>
      <c r="E73" s="17"/>
      <c r="F73" s="17"/>
    </row>
    <row r="74" ht="18" customHeight="1" spans="1:6">
      <c r="A74" s="16"/>
      <c r="B74" s="10" t="s">
        <v>616</v>
      </c>
      <c r="C74" s="17"/>
      <c r="D74" s="17"/>
      <c r="E74" s="17">
        <f>78</f>
        <v>78</v>
      </c>
      <c r="F74" s="17"/>
    </row>
    <row r="75" ht="18" customHeight="1" spans="1:6">
      <c r="A75" s="16"/>
      <c r="B75" s="10" t="s">
        <v>617</v>
      </c>
      <c r="C75" s="17"/>
      <c r="D75" s="17"/>
      <c r="E75" s="17">
        <f>128</f>
        <v>128</v>
      </c>
      <c r="F75" s="17"/>
    </row>
    <row r="76" ht="18" customHeight="1" spans="1:6">
      <c r="A76" s="16"/>
      <c r="B76" s="10" t="s">
        <v>255</v>
      </c>
      <c r="C76" s="17"/>
      <c r="D76" s="17">
        <f>66+60+60+48+48</f>
        <v>282</v>
      </c>
      <c r="E76" s="17">
        <f>338+555+198</f>
        <v>1091</v>
      </c>
      <c r="F76" s="17"/>
    </row>
    <row r="77" ht="18" customHeight="1" spans="1:6">
      <c r="A77" s="16"/>
      <c r="B77" s="10" t="s">
        <v>495</v>
      </c>
      <c r="C77" s="17"/>
      <c r="D77" s="17"/>
      <c r="E77" s="17">
        <f>188</f>
        <v>188</v>
      </c>
      <c r="F77" s="17"/>
    </row>
    <row r="78" ht="18" customHeight="1" spans="1:6">
      <c r="A78" s="16"/>
      <c r="B78" s="10" t="s">
        <v>618</v>
      </c>
      <c r="C78" s="17"/>
      <c r="D78" s="17"/>
      <c r="E78" s="17">
        <f>208</f>
        <v>208</v>
      </c>
      <c r="F78" s="17"/>
    </row>
    <row r="79" ht="18" customHeight="1" spans="1:6">
      <c r="A79" s="16"/>
      <c r="B79" s="10"/>
      <c r="C79" s="17"/>
      <c r="D79" s="17"/>
      <c r="E79" s="17"/>
      <c r="F79" s="17"/>
    </row>
    <row r="80" ht="18" customHeight="1" spans="1:6">
      <c r="A80" s="16"/>
      <c r="B80" s="10"/>
      <c r="C80" s="17"/>
      <c r="D80" s="17"/>
      <c r="E80" s="17"/>
      <c r="F80" s="17"/>
    </row>
    <row r="81" ht="18" customHeight="1" spans="1:6">
      <c r="A81" s="16"/>
      <c r="B81" s="10"/>
      <c r="C81" s="17"/>
      <c r="D81" s="17"/>
      <c r="E81" s="17"/>
      <c r="F81" s="17"/>
    </row>
    <row r="82" ht="18" customHeight="1" spans="1:6">
      <c r="A82" s="16"/>
      <c r="B82" s="19"/>
      <c r="C82" s="20"/>
      <c r="D82" s="20"/>
      <c r="E82" s="20"/>
      <c r="F82" s="20"/>
    </row>
    <row r="83" ht="18" customHeight="1" spans="1:6">
      <c r="A83" s="16"/>
      <c r="B83" s="19"/>
      <c r="C83" s="7" t="s">
        <v>619</v>
      </c>
      <c r="D83" s="7" t="s">
        <v>620</v>
      </c>
      <c r="E83" s="7" t="s">
        <v>621</v>
      </c>
      <c r="F83" s="7" t="s">
        <v>622</v>
      </c>
    </row>
    <row r="84" ht="18" customHeight="1" spans="1:6">
      <c r="A84" s="16"/>
      <c r="B84" s="19"/>
      <c r="C84" s="20">
        <f>SUM(C5:C83)</f>
        <v>11952.88</v>
      </c>
      <c r="D84" s="20">
        <f>SUM(D5:D83)</f>
        <v>24011</v>
      </c>
      <c r="E84" s="20">
        <f>SUM(E5:E83)</f>
        <v>24011</v>
      </c>
      <c r="F84" s="20">
        <f>C84+D84</f>
        <v>35963.88</v>
      </c>
    </row>
    <row r="85" ht="20.1" customHeight="1" spans="1:6">
      <c r="A85" s="21"/>
      <c r="B85" s="22" t="s">
        <v>623</v>
      </c>
      <c r="C85" s="22"/>
      <c r="D85" s="22"/>
      <c r="E85" s="22"/>
      <c r="F85" s="22"/>
    </row>
    <row r="86" spans="1:6">
      <c r="A86" s="21"/>
      <c r="B86" s="23"/>
      <c r="C86" s="24"/>
      <c r="D86" s="24"/>
      <c r="E86" s="24"/>
      <c r="F86" s="24"/>
    </row>
    <row r="87" spans="1:6">
      <c r="A87" s="21"/>
      <c r="B87" s="23"/>
      <c r="C87" s="24"/>
      <c r="D87" s="24"/>
      <c r="E87" s="24"/>
      <c r="F87" s="24"/>
    </row>
    <row r="88" spans="1:6">
      <c r="A88" s="21"/>
      <c r="B88" s="23"/>
      <c r="C88" s="24"/>
      <c r="D88" s="24"/>
      <c r="E88" s="24"/>
      <c r="F88" s="24"/>
    </row>
  </sheetData>
  <mergeCells count="2">
    <mergeCell ref="B85:F85"/>
    <mergeCell ref="A1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收支明细</vt:lpstr>
      <vt:lpstr>求助者善款发放安排</vt:lpstr>
      <vt:lpstr>公帐收支明细</vt:lpstr>
      <vt:lpstr>理事会基金</vt:lpstr>
      <vt:lpstr>特困户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张胜昌</cp:lastModifiedBy>
  <dcterms:created xsi:type="dcterms:W3CDTF">2016-12-13T12:29:00Z</dcterms:created>
  <cp:lastPrinted>2021-01-22T14:55:00Z</cp:lastPrinted>
  <dcterms:modified xsi:type="dcterms:W3CDTF">2022-10-13T05:19:49Z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54E5E776A5A844928BD9F827859D8201</vt:lpwstr>
  </property>
</Properties>
</file>